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Y:\Benefits\Resource Book Info\"/>
    </mc:Choice>
  </mc:AlternateContent>
  <xr:revisionPtr revIDLastSave="0" documentId="13_ncr:1_{3EF8161A-1C97-4D5C-81C0-0BBD4CD0DD18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Formulas" sheetId="1" state="hidden" r:id="rId1"/>
    <sheet name="Calculator" sheetId="3" r:id="rId2"/>
    <sheet name="VolLifeADD Rates" sheetId="6" state="hidden" r:id="rId3"/>
    <sheet name="Unum Rates" sheetId="5" state="hidden" r:id="rId4"/>
    <sheet name="MDV Rates" sheetId="4" state="hidden" r:id="rId5"/>
  </sheets>
  <definedNames>
    <definedName name="_xlnm.Print_Area" localSheetId="4">'MDV Rates'!$A$1:$L$31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0" i="3" l="1"/>
  <c r="D30" i="3"/>
  <c r="B6" i="3"/>
  <c r="B5" i="3"/>
  <c r="G29" i="3"/>
  <c r="G28" i="3"/>
  <c r="G27" i="3"/>
  <c r="G26" i="3"/>
  <c r="G21" i="3"/>
  <c r="G19" i="3"/>
  <c r="G17" i="3"/>
  <c r="G15" i="3"/>
  <c r="G13" i="3"/>
  <c r="G12" i="3"/>
  <c r="G11" i="3"/>
  <c r="G10" i="3"/>
  <c r="G9" i="3"/>
  <c r="C9" i="3" a="1"/>
  <c r="C9" i="3" s="1"/>
  <c r="E9" i="3" s="1"/>
  <c r="F9" i="3" s="1"/>
  <c r="C29" i="3"/>
  <c r="E29" i="3" s="1"/>
  <c r="C28" i="3"/>
  <c r="E28" i="3" s="1"/>
  <c r="C27" i="3"/>
  <c r="E27" i="3" s="1"/>
  <c r="C26" i="3"/>
  <c r="E26" i="3" s="1"/>
  <c r="C17" i="3"/>
  <c r="E17" i="3" s="1"/>
  <c r="C19" i="3"/>
  <c r="E19" i="3" s="1"/>
  <c r="C15" i="3"/>
  <c r="E15" i="3" s="1"/>
  <c r="C11" i="3"/>
  <c r="E11" i="3" s="1"/>
  <c r="C10" i="3"/>
  <c r="E10" i="3" s="1"/>
  <c r="F10" i="3" s="1"/>
  <c r="C21" i="3"/>
  <c r="E21" i="3" s="1"/>
  <c r="H31" i="4"/>
  <c r="H30" i="4"/>
  <c r="H29" i="4"/>
  <c r="H28" i="4"/>
  <c r="C24" i="4"/>
  <c r="H24" i="4" s="1"/>
  <c r="J24" i="4" s="1"/>
  <c r="C23" i="4"/>
  <c r="H23" i="4" s="1"/>
  <c r="J23" i="4" s="1"/>
  <c r="C22" i="4"/>
  <c r="E22" i="4" s="1"/>
  <c r="C21" i="4"/>
  <c r="H21" i="4" s="1"/>
  <c r="J21" i="4" s="1"/>
  <c r="H15" i="4"/>
  <c r="I15" i="4" s="1"/>
  <c r="C15" i="4"/>
  <c r="F15" i="4" s="1"/>
  <c r="C14" i="4"/>
  <c r="H14" i="4" s="1"/>
  <c r="C13" i="4"/>
  <c r="H13" i="4" s="1"/>
  <c r="H12" i="4"/>
  <c r="I12" i="4" s="1"/>
  <c r="C12" i="4"/>
  <c r="F12" i="4" s="1"/>
  <c r="C11" i="4"/>
  <c r="F11" i="4" s="1"/>
  <c r="C10" i="4"/>
  <c r="H10" i="4" s="1"/>
  <c r="H9" i="4"/>
  <c r="K9" i="4" s="1"/>
  <c r="C9" i="4"/>
  <c r="F9" i="4" s="1"/>
  <c r="C8" i="4"/>
  <c r="F8" i="4" s="1"/>
  <c r="C7" i="4"/>
  <c r="H7" i="4" s="1"/>
  <c r="H6" i="4"/>
  <c r="K6" i="4" s="1"/>
  <c r="C6" i="4"/>
  <c r="F6" i="4" s="1"/>
  <c r="C5" i="4"/>
  <c r="E5" i="4" s="1"/>
  <c r="C4" i="4"/>
  <c r="H4" i="4" s="1"/>
  <c r="D9" i="3" l="1"/>
  <c r="D10" i="3"/>
  <c r="E30" i="3"/>
  <c r="C30" i="3"/>
  <c r="K14" i="4"/>
  <c r="J14" i="4"/>
  <c r="I14" i="4"/>
  <c r="K4" i="4"/>
  <c r="J4" i="4"/>
  <c r="I4" i="4"/>
  <c r="K10" i="4"/>
  <c r="J10" i="4"/>
  <c r="I10" i="4"/>
  <c r="J13" i="4"/>
  <c r="I13" i="4"/>
  <c r="K13" i="4"/>
  <c r="J7" i="4"/>
  <c r="I7" i="4"/>
  <c r="K7" i="4"/>
  <c r="J12" i="4"/>
  <c r="D7" i="4"/>
  <c r="E13" i="4"/>
  <c r="F13" i="4"/>
  <c r="D5" i="4"/>
  <c r="D8" i="4"/>
  <c r="D11" i="4"/>
  <c r="D14" i="4"/>
  <c r="E23" i="4"/>
  <c r="I9" i="4"/>
  <c r="K12" i="4"/>
  <c r="D13" i="4"/>
  <c r="H22" i="4"/>
  <c r="J22" i="4" s="1"/>
  <c r="E24" i="4"/>
  <c r="J9" i="4"/>
  <c r="E4" i="4"/>
  <c r="E11" i="4"/>
  <c r="F14" i="4"/>
  <c r="H5" i="4"/>
  <c r="K15" i="4"/>
  <c r="D10" i="4"/>
  <c r="E10" i="4"/>
  <c r="F10" i="4"/>
  <c r="H11" i="4"/>
  <c r="I6" i="4"/>
  <c r="J15" i="4"/>
  <c r="E21" i="4"/>
  <c r="E8" i="4"/>
  <c r="F5" i="4"/>
  <c r="D6" i="4"/>
  <c r="D9" i="4"/>
  <c r="D12" i="4"/>
  <c r="D15" i="4"/>
  <c r="J6" i="4"/>
  <c r="D4" i="4"/>
  <c r="E7" i="4"/>
  <c r="F4" i="4"/>
  <c r="E14" i="4"/>
  <c r="H8" i="4"/>
  <c r="E6" i="4"/>
  <c r="E9" i="4"/>
  <c r="E12" i="4"/>
  <c r="E15" i="4"/>
  <c r="F7" i="4"/>
  <c r="K8" i="4" l="1"/>
  <c r="I8" i="4"/>
  <c r="J8" i="4"/>
  <c r="I11" i="4"/>
  <c r="K11" i="4"/>
  <c r="J11" i="4"/>
  <c r="K5" i="4"/>
  <c r="J5" i="4"/>
  <c r="I5" i="4"/>
  <c r="A6" i="1" l="1"/>
  <c r="B6" i="1" s="1"/>
  <c r="C6" i="1" s="1"/>
  <c r="H21" i="1"/>
  <c r="H20" i="1"/>
  <c r="B21" i="1"/>
  <c r="B20" i="1"/>
  <c r="A15" i="1"/>
  <c r="B15" i="1" s="1"/>
  <c r="C15" i="1" s="1"/>
  <c r="D15" i="1" s="1"/>
  <c r="E15" i="1" s="1"/>
  <c r="E16" i="1" s="1"/>
  <c r="B25" i="1"/>
  <c r="C25" i="1"/>
  <c r="D25" i="1"/>
  <c r="B26" i="1"/>
  <c r="C26" i="1"/>
  <c r="B27" i="1"/>
  <c r="C27" i="1"/>
  <c r="D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D34" i="1"/>
  <c r="E34" i="1"/>
  <c r="E17" i="1" l="1"/>
  <c r="G17" i="1"/>
  <c r="I17" i="1" s="1"/>
  <c r="G16" i="1"/>
  <c r="I16" i="1" s="1"/>
  <c r="G15" i="1"/>
  <c r="B12" i="3"/>
  <c r="D21" i="1"/>
  <c r="K20" i="1"/>
  <c r="D20" i="1"/>
  <c r="D6" i="1"/>
  <c r="D7" i="1" s="1"/>
  <c r="D8" i="1" s="1"/>
  <c r="K21" i="1"/>
  <c r="I15" i="1" l="1"/>
  <c r="E13" i="3" s="1"/>
  <c r="C13" i="3"/>
  <c r="J17" i="1"/>
  <c r="J16" i="1"/>
  <c r="J15" i="1"/>
  <c r="F13" i="3" s="1"/>
  <c r="H15" i="1"/>
  <c r="H16" i="1"/>
  <c r="H17" i="1"/>
  <c r="F7" i="1"/>
  <c r="F6" i="1"/>
  <c r="F8" i="1"/>
  <c r="D13" i="3" l="1"/>
  <c r="C12" i="3"/>
  <c r="G8" i="1"/>
  <c r="I8" i="1" s="1"/>
  <c r="H8" i="1"/>
  <c r="G6" i="1"/>
  <c r="H6" i="1"/>
  <c r="E12" i="3" s="1"/>
  <c r="G7" i="1"/>
  <c r="I7" i="1" s="1"/>
  <c r="H7" i="1"/>
  <c r="I6" i="1" l="1"/>
  <c r="F12" i="3" s="1"/>
  <c r="F23" i="3" s="1"/>
  <c r="D12" i="3"/>
  <c r="D23" i="3" s="1"/>
  <c r="C23" i="3"/>
  <c r="D32" i="3" l="1"/>
  <c r="D31" i="3"/>
  <c r="C32" i="3"/>
  <c r="C31" i="3"/>
  <c r="F32" i="3"/>
  <c r="F31" i="3"/>
  <c r="E23" i="3"/>
  <c r="E32" i="3" l="1"/>
  <c r="E3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<sst xmlns="http://schemas.openxmlformats.org/spreadsheetml/2006/main" count="257" uniqueCount="207">
  <si>
    <t>Group Life - Effective the first pay period after 30 days of employment</t>
  </si>
  <si>
    <t>Annual x 2, rounded to next $1,000 (max $75,000)/1000 x .382 x percent paid by EE/2 per paycheck for 24 month</t>
  </si>
  <si>
    <t>Annual Salary</t>
  </si>
  <si>
    <r>
      <t xml:space="preserve">x 2, </t>
    </r>
    <r>
      <rPr>
        <sz val="10"/>
        <color indexed="10"/>
        <rFont val="Arial"/>
        <family val="2"/>
      </rPr>
      <t>max $75,000</t>
    </r>
  </si>
  <si>
    <t>/ by 1000</t>
  </si>
  <si>
    <t>x .25 cents</t>
  </si>
  <si>
    <t xml:space="preserve">x percent by salary range </t>
  </si>
  <si>
    <r>
      <t xml:space="preserve">/ 2 = cost per paycheck for </t>
    </r>
    <r>
      <rPr>
        <b/>
        <sz val="10"/>
        <rFont val="Arial"/>
        <family val="2"/>
      </rPr>
      <t>24 paychecks</t>
    </r>
  </si>
  <si>
    <t xml:space="preserve"> </t>
  </si>
  <si>
    <t>LTD - Effective first of the month after 30 days of employment</t>
  </si>
  <si>
    <t>12 month Calculation: Annual Salary / 12 / 100 x .14 = monthly premium / 2 = per paycheck amount</t>
  </si>
  <si>
    <t>/ 12 months</t>
  </si>
  <si>
    <t xml:space="preserve"> / 100</t>
  </si>
  <si>
    <t>x .14 cents</t>
  </si>
  <si>
    <t>max $100,000.</t>
  </si>
  <si>
    <t>max $8,333.</t>
  </si>
  <si>
    <t>Voluntary Life</t>
  </si>
  <si>
    <t>AD&amp;D</t>
  </si>
  <si>
    <t>Coverage Amount</t>
  </si>
  <si>
    <t>Premium 12 month</t>
  </si>
  <si>
    <t>Coverage amount</t>
  </si>
  <si>
    <t>Rate from table</t>
  </si>
  <si>
    <t>Premium 9 month</t>
  </si>
  <si>
    <t>Effective and Due Dates</t>
  </si>
  <si>
    <t>Date of Hire</t>
  </si>
  <si>
    <t>30 Days</t>
  </si>
  <si>
    <t>Due Date</t>
  </si>
  <si>
    <t>90 Days</t>
  </si>
  <si>
    <t>120 Days</t>
  </si>
  <si>
    <t>Effective Date</t>
  </si>
  <si>
    <t>Medical - 1st pp after 30 days.</t>
  </si>
  <si>
    <t>Dental - 1st pp after 30 days</t>
  </si>
  <si>
    <t>Vision - 1st of the month after 30 days. Late enrollment first of month following 90 days.</t>
  </si>
  <si>
    <t>Group Life - 1st pp after 30 days</t>
  </si>
  <si>
    <t>LTD - 1st pp after 30 days</t>
  </si>
  <si>
    <t>Supp Life - 1st pp after 30 days</t>
  </si>
  <si>
    <t>AD&amp;D Life - 1st of the month after receipt</t>
  </si>
  <si>
    <t>Flex - NH - 1st of the month after receipt, 31 days to enroll</t>
  </si>
  <si>
    <t>AFLAC-form rcvd 1-14 effective 1st of following month; rcvd 15-EOM effective 1st of subsequent month</t>
  </si>
  <si>
    <t>ARP</t>
  </si>
  <si>
    <t>Status Changes take effect the day following except:</t>
  </si>
  <si>
    <r>
      <t>Birth</t>
    </r>
    <r>
      <rPr>
        <sz val="10"/>
        <rFont val="Arial"/>
      </rPr>
      <t>-Effective date of birth (official birth cert and social security card required within 3 months)</t>
    </r>
  </si>
  <si>
    <r>
      <t>Divorce</t>
    </r>
    <r>
      <rPr>
        <sz val="10"/>
        <rFont val="Arial"/>
      </rPr>
      <t xml:space="preserve"> or legal Separation_Effective the day legal documents are filed</t>
    </r>
  </si>
  <si>
    <r>
      <t>Dependent children</t>
    </r>
    <r>
      <rPr>
        <sz val="10"/>
        <rFont val="Arial"/>
      </rPr>
      <t xml:space="preserve"> losing eligibility (age 26)-Effective day before</t>
    </r>
  </si>
  <si>
    <t>2/4/09 Vision effective the 1st of the month following eligibility including qualifying events.</t>
  </si>
  <si>
    <t>NMSU %</t>
  </si>
  <si>
    <t>Employee %</t>
  </si>
  <si>
    <t>$0-$57,200</t>
  </si>
  <si>
    <t>$57,200-83,200</t>
  </si>
  <si>
    <t>&gt;83,200</t>
  </si>
  <si>
    <t>Effective 7/1/2025</t>
  </si>
  <si>
    <t xml:space="preserve">Benefit Calculator </t>
  </si>
  <si>
    <t xml:space="preserve">Date of hire or qualifying event: </t>
  </si>
  <si>
    <t>Annual Salary:</t>
  </si>
  <si>
    <t>Deadline</t>
  </si>
  <si>
    <t>90 days</t>
  </si>
  <si>
    <t>Premiums per pay period</t>
  </si>
  <si>
    <t xml:space="preserve">Plan  </t>
  </si>
  <si>
    <t>Coverage</t>
  </si>
  <si>
    <t>New Hire Effective Date</t>
  </si>
  <si>
    <t xml:space="preserve">Medical </t>
  </si>
  <si>
    <t>Dental</t>
  </si>
  <si>
    <t>Vision</t>
  </si>
  <si>
    <t>Group Life Insurance</t>
  </si>
  <si>
    <t>Long Term Disability</t>
  </si>
  <si>
    <t>60% monthly salary, max $5,000</t>
  </si>
  <si>
    <r>
      <t>Voluntary Life</t>
    </r>
    <r>
      <rPr>
        <sz val="10"/>
        <rFont val="Calibri"/>
        <family val="2"/>
        <scheme val="minor"/>
      </rPr>
      <t xml:space="preserve"> (must elect AD&amp;D coverage if electing Voluntary Life)</t>
    </r>
  </si>
  <si>
    <t>Employee Coverage Amount</t>
  </si>
  <si>
    <t>Employee Age Range</t>
  </si>
  <si>
    <t>Spouse Coverage Amount</t>
  </si>
  <si>
    <t>Spouse Age Range</t>
  </si>
  <si>
    <t>Dependent Child Option</t>
  </si>
  <si>
    <r>
      <t xml:space="preserve">AD&amp;D </t>
    </r>
    <r>
      <rPr>
        <sz val="10"/>
        <rFont val="Calibri"/>
        <family val="2"/>
        <scheme val="minor"/>
      </rPr>
      <t>(must elect Voluntary Life coverage if electing AD&amp;D)</t>
    </r>
  </si>
  <si>
    <t>Individual or Family Coverage</t>
  </si>
  <si>
    <t>Plan</t>
  </si>
  <si>
    <t>Accident</t>
  </si>
  <si>
    <t>Critical Illness</t>
  </si>
  <si>
    <t>Critical Illness - Spouse</t>
  </si>
  <si>
    <t>Hospital</t>
  </si>
  <si>
    <t>Monthly Total:</t>
  </si>
  <si>
    <t>Calculator for illustrative purposes only; your premium may be slightly higher or lower due to rounding</t>
  </si>
  <si>
    <t xml:space="preserve">FSA forms are due within 31 days of hire or qualifying life event.  Coverage is effective the 1st of the month following receipt of the form. </t>
  </si>
  <si>
    <t>Rates Links:</t>
  </si>
  <si>
    <t>Medical, dental &amp; vision rates</t>
  </si>
  <si>
    <t>https://benefits.nmsu.edu/documents/Insurance_Premium_Rates_Summary_7-1-2025.pdf</t>
  </si>
  <si>
    <t>Voluntary life and AD&amp;D rates</t>
  </si>
  <si>
    <t>https://benefits.nmsu.edu/insurance/voluntary-life.html</t>
  </si>
  <si>
    <t>https://benefits.nmsu.edu/documents/NMSU-Accident-M2O-Flyer.pdf</t>
  </si>
  <si>
    <t>https://benefits.nmsu.edu/documents/NMSU-Hospital-M2O-Flyer.pdf</t>
  </si>
  <si>
    <t>https://benefits.nmsu.edu/documents/NMSU-Critical-Illness-Flyer---English.pdf</t>
  </si>
  <si>
    <t>Enrollment Links:</t>
  </si>
  <si>
    <t>Benefit Enrollment/Waiver Form</t>
  </si>
  <si>
    <t>https://benefits.nmsu.edu/documents/Benefit-Enrollment-Form-2022-0021.pdf</t>
  </si>
  <si>
    <t>Ticketing System</t>
  </si>
  <si>
    <t>help.nmsu.edu</t>
  </si>
  <si>
    <t>Employee Navigator</t>
  </si>
  <si>
    <t>www.employeenavigator.com</t>
  </si>
  <si>
    <t>Voluntary Term Life</t>
  </si>
  <si>
    <t>Monthly Rates per $1,000</t>
  </si>
  <si>
    <t xml:space="preserve">Age </t>
  </si>
  <si>
    <t>Employee</t>
  </si>
  <si>
    <t>Spouse</t>
  </si>
  <si>
    <t>Under 25</t>
  </si>
  <si>
    <t xml:space="preserve">25 – 29 </t>
  </si>
  <si>
    <t xml:space="preserve">30 - 34 </t>
  </si>
  <si>
    <t xml:space="preserve">35 – 39 </t>
  </si>
  <si>
    <t xml:space="preserve">40 - 44 </t>
  </si>
  <si>
    <t xml:space="preserve">45 – 49 </t>
  </si>
  <si>
    <t xml:space="preserve">50 - 54 </t>
  </si>
  <si>
    <t>55 - 59</t>
  </si>
  <si>
    <t xml:space="preserve">60 - 64 </t>
  </si>
  <si>
    <t xml:space="preserve">65 – 69 </t>
  </si>
  <si>
    <t xml:space="preserve">70 &amp; over </t>
  </si>
  <si>
    <t>Voluntary Dependent Child Life</t>
  </si>
  <si>
    <t>Voluntary AD&amp;D</t>
  </si>
  <si>
    <t xml:space="preserve">Monthly Rates </t>
  </si>
  <si>
    <t>Option 1 $0.90</t>
  </si>
  <si>
    <t>Individual Plan $0.021</t>
  </si>
  <si>
    <t>Option 2 $1.80</t>
  </si>
  <si>
    <t>Family Plan $0.032</t>
  </si>
  <si>
    <t xml:space="preserve">Your monthly premium </t>
  </si>
  <si>
    <t xml:space="preserve">Option 1 </t>
  </si>
  <si>
    <t>Option 1 - You</t>
  </si>
  <si>
    <t xml:space="preserve">Option 1 - You and your spouse </t>
  </si>
  <si>
    <t xml:space="preserve">Option 1 - You and your children </t>
  </si>
  <si>
    <t xml:space="preserve">Option 1 - Family </t>
  </si>
  <si>
    <t>Option 2 - You</t>
  </si>
  <si>
    <t xml:space="preserve">Option 2 - You and your spouse </t>
  </si>
  <si>
    <t xml:space="preserve">Option 2 - You and your children </t>
  </si>
  <si>
    <t xml:space="preserve">Option 2 - Family </t>
  </si>
  <si>
    <t>EE</t>
  </si>
  <si>
    <t>Sp</t>
  </si>
  <si>
    <t xml:space="preserve">$10,000 Employee, $5,000 Spouse,  under 25 </t>
  </si>
  <si>
    <t xml:space="preserve">$10,000 Employee, $5,000 Spouse,  25 - 29 </t>
  </si>
  <si>
    <t xml:space="preserve">$10,000 Employee, $5,000 Spouse,  30 - 34 </t>
  </si>
  <si>
    <t xml:space="preserve">$10,000 Employee, $5,000 Spouse,  35 - 39 </t>
  </si>
  <si>
    <t xml:space="preserve">$10,000 Employee, $5,000 Spouse,  40 - 44 </t>
  </si>
  <si>
    <t xml:space="preserve">$10,000 Employee, $5,000 Spouse,  45 - 49 </t>
  </si>
  <si>
    <t xml:space="preserve">$10,000 Employee, $5,000 Spouse,  50 - 54 </t>
  </si>
  <si>
    <t xml:space="preserve">$10,000 Employee, $5,000 Spouse,  55 - 59 </t>
  </si>
  <si>
    <t xml:space="preserve">$10,000 Employee, $5,000 Spouse,  60 - 64 </t>
  </si>
  <si>
    <t xml:space="preserve">$10,000 Employee, $5,000 Spouse,  65 - 69 </t>
  </si>
  <si>
    <t xml:space="preserve">$10,000 Employee, $5,000 Spouse,  70 - 74 </t>
  </si>
  <si>
    <t xml:space="preserve">$10,000 Employee, $5,000 Spouse,  75 - 79 </t>
  </si>
  <si>
    <t xml:space="preserve">$10,000 Employee, $5,000 Spouse,  80 - 84 </t>
  </si>
  <si>
    <t xml:space="preserve">$10,000 Employee, $5,000 Spouse,  85+ </t>
  </si>
  <si>
    <t xml:space="preserve">$20,000 Employee, $10,000 Spouse,  under 25 </t>
  </si>
  <si>
    <t xml:space="preserve">$20,000 Employee, $10,000 Spouse,  25 - 29 </t>
  </si>
  <si>
    <t xml:space="preserve">$20,000 Employee, $10,000 Spouse,  30 - 34 </t>
  </si>
  <si>
    <t xml:space="preserve">$20,000 Employee, $10,000 Spouse,  35 - 39 </t>
  </si>
  <si>
    <t xml:space="preserve">$20,000 Employee, $10,000 Spouse,  40 - 44 </t>
  </si>
  <si>
    <t xml:space="preserve">$20,000 Employee, $10,000 Spouse,  45 - 49 </t>
  </si>
  <si>
    <t xml:space="preserve">$20,000 Employee, $10,000 Spouse,  50 - 54 </t>
  </si>
  <si>
    <t xml:space="preserve">$20,000 Employee, $10,000 Spouse,  55 - 59 </t>
  </si>
  <si>
    <t xml:space="preserve">$20,000 Employee, $10,000 Spouse,  60 - 64 </t>
  </si>
  <si>
    <t xml:space="preserve">$20,000 Employee, $10,000 Spouse,  65 - 69 </t>
  </si>
  <si>
    <t xml:space="preserve">$20,000 Employee, $10,000 Spouse,  70 - 74 </t>
  </si>
  <si>
    <t xml:space="preserve">$20,000 Employee, $10,000 Spouse,  75 - 79 </t>
  </si>
  <si>
    <t xml:space="preserve">$20,000 Employee, $10,000 Spouse,  80 - 84 </t>
  </si>
  <si>
    <t xml:space="preserve">$20,000 Employee, $10,000 Spouse,  85+ </t>
  </si>
  <si>
    <t>Medical Premiums Per Paycheck</t>
  </si>
  <si>
    <t>Premiums for 12-month employees</t>
  </si>
  <si>
    <t>Premiums for 9-month employees</t>
  </si>
  <si>
    <t>Salary</t>
  </si>
  <si>
    <t>Monthly Rates</t>
  </si>
  <si>
    <t>Total Per Pay Period</t>
  </si>
  <si>
    <t>Employee 18%</t>
  </si>
  <si>
    <t>Employee 30%</t>
  </si>
  <si>
    <t>Employee 40%</t>
  </si>
  <si>
    <t>Medical Plan:</t>
  </si>
  <si>
    <t>Presbyterian HMO Employee + Spouse</t>
  </si>
  <si>
    <t>Presbyterian HMO Employee Only</t>
  </si>
  <si>
    <t>Rate:</t>
  </si>
  <si>
    <t>Presbyterian HMO Employee + Child</t>
  </si>
  <si>
    <t>Presbyterian HMO Family</t>
  </si>
  <si>
    <t>BCBSNM HMO  Employee Only</t>
  </si>
  <si>
    <t>BCBSNM HMO Employee + Spouse</t>
  </si>
  <si>
    <t>BCBSNM HMO Employee + Child</t>
  </si>
  <si>
    <t>BCBSNM HMO Family</t>
  </si>
  <si>
    <t>BCBSNM PPO Employee Only</t>
  </si>
  <si>
    <t>BCBSNM PPO Employee + Spouse</t>
  </si>
  <si>
    <t>BCBSNM PPO Employee + Child</t>
  </si>
  <si>
    <t>BCBSNM PPO Family</t>
  </si>
  <si>
    <t>Dental Premiums Per Paycheck</t>
  </si>
  <si>
    <t>Total Per Pay Period Contribution</t>
  </si>
  <si>
    <t>Employee Pay Period Contribution</t>
  </si>
  <si>
    <t>Employee Only</t>
  </si>
  <si>
    <t>Employee + Spouse</t>
  </si>
  <si>
    <t>Employee + Child</t>
  </si>
  <si>
    <t>Family</t>
  </si>
  <si>
    <t>Vision Premiums Per Paycheck</t>
  </si>
  <si>
    <t>Monthly Premiums</t>
  </si>
  <si>
    <t xml:space="preserve"> 12-month Employee</t>
  </si>
  <si>
    <t>12-month NMSU</t>
  </si>
  <si>
    <t>9-month Employee</t>
  </si>
  <si>
    <t xml:space="preserve">9-month NMSU </t>
  </si>
  <si>
    <t xml:space="preserve">12-month Employee </t>
  </si>
  <si>
    <t>12 EE</t>
  </si>
  <si>
    <t>12 NMSU</t>
  </si>
  <si>
    <t>9 EE</t>
  </si>
  <si>
    <t>9 NMSU</t>
  </si>
  <si>
    <t>12 mo ppp</t>
  </si>
  <si>
    <t>9 mo ppp</t>
  </si>
  <si>
    <t>Enter your selections in the green highlighted cells.</t>
  </si>
  <si>
    <t>Per Pay Period Deductions (2x/month):</t>
  </si>
  <si>
    <t>Monthly Deductions (1x/month</t>
  </si>
  <si>
    <t>Full Deduction Total (Pay Period + Monthly Deductions)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</si>
</sst>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  <numFmt numFmtId="165" formatCode="&quot;$&quot;#,##0.00"/>
  </numFmts>
  <fonts count="25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0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sz val="10"/>
      <color rgb="FF0070C0"/>
      <name val="Arial"/>
      <family val="2"/>
    </font>
    <font>
      <b/>
      <sz val="14"/>
      <color theme="1"/>
      <name val="Times New Roman"/>
      <family val="1"/>
    </font>
    <font>
      <sz val="11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Arial Unicode MS"/>
    </font>
    <font>
      <sz val="10"/>
      <color rgb="FFFF0000"/>
      <name val="Arial Unicode MS"/>
    </font>
    <font>
      <b/>
      <sz val="12"/>
      <name val="Calibri"/>
      <family val="2"/>
      <scheme val="minor"/>
    </font>
    <font>
      <sz val="14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178">
    <xf numFmtId="0" fontId="0" fillId="0" borderId="0" xfId="0"/>
    <xf numFmtId="7" fontId="0" fillId="0" borderId="0" xfId="1" applyNumberFormat="1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/>
    <xf numFmtId="44" fontId="0" fillId="0" borderId="0" xfId="1" applyFont="1"/>
    <xf numFmtId="0" fontId="8" fillId="0" borderId="0" xfId="0" applyFont="1"/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0" fontId="10" fillId="0" borderId="0" xfId="0" applyFont="1"/>
    <xf numFmtId="44" fontId="0" fillId="0" borderId="0" xfId="1" applyFo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4" fontId="10" fillId="0" borderId="0" xfId="1" applyFont="1"/>
    <xf numFmtId="0" fontId="0" fillId="2" borderId="0" xfId="0" applyFill="1"/>
    <xf numFmtId="164" fontId="0" fillId="3" borderId="0" xfId="0" applyNumberFormat="1" applyFill="1" applyAlignment="1">
      <alignment horizontal="center"/>
    </xf>
    <xf numFmtId="164" fontId="11" fillId="2" borderId="0" xfId="0" applyNumberFormat="1" applyFont="1" applyFill="1" applyAlignment="1" applyProtection="1">
      <alignment horizontal="center"/>
      <protection locked="0"/>
    </xf>
    <xf numFmtId="0" fontId="8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164" fontId="8" fillId="3" borderId="0" xfId="0" applyNumberFormat="1" applyFont="1" applyFill="1" applyAlignment="1">
      <alignment horizontal="center"/>
    </xf>
    <xf numFmtId="0" fontId="0" fillId="3" borderId="1" xfId="0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8" fillId="4" borderId="0" xfId="0" applyFont="1" applyFill="1"/>
    <xf numFmtId="0" fontId="0" fillId="4" borderId="0" xfId="0" applyFill="1"/>
    <xf numFmtId="0" fontId="2" fillId="4" borderId="0" xfId="0" applyFont="1" applyFill="1"/>
    <xf numFmtId="0" fontId="6" fillId="0" borderId="0" xfId="0" applyFont="1"/>
    <xf numFmtId="0" fontId="6" fillId="4" borderId="0" xfId="0" applyFont="1" applyFill="1"/>
    <xf numFmtId="0" fontId="0" fillId="3" borderId="0" xfId="0" applyFill="1"/>
    <xf numFmtId="44" fontId="0" fillId="2" borderId="0" xfId="0" applyNumberFormat="1" applyFill="1"/>
    <xf numFmtId="8" fontId="8" fillId="5" borderId="1" xfId="0" applyNumberFormat="1" applyFont="1" applyFill="1" applyBorder="1"/>
    <xf numFmtId="8" fontId="0" fillId="5" borderId="1" xfId="0" applyNumberFormat="1" applyFill="1" applyBorder="1"/>
    <xf numFmtId="8" fontId="0" fillId="6" borderId="1" xfId="0" applyNumberFormat="1" applyFill="1" applyBorder="1"/>
    <xf numFmtId="0" fontId="6" fillId="0" borderId="1" xfId="0" applyFont="1" applyBorder="1"/>
    <xf numFmtId="0" fontId="6" fillId="5" borderId="1" xfId="0" applyFont="1" applyFill="1" applyBorder="1"/>
    <xf numFmtId="0" fontId="6" fillId="6" borderId="1" xfId="0" applyFont="1" applyFill="1" applyBorder="1"/>
    <xf numFmtId="0" fontId="0" fillId="7" borderId="1" xfId="0" applyFill="1" applyBorder="1"/>
    <xf numFmtId="0" fontId="0" fillId="8" borderId="1" xfId="0" applyFill="1" applyBorder="1"/>
    <xf numFmtId="0" fontId="1" fillId="0" borderId="0" xfId="3"/>
    <xf numFmtId="0" fontId="13" fillId="0" borderId="8" xfId="3" applyFont="1" applyBorder="1" applyAlignment="1">
      <alignment horizontal="center" vertical="center"/>
    </xf>
    <xf numFmtId="0" fontId="13" fillId="0" borderId="10" xfId="3" applyFont="1" applyBorder="1" applyAlignment="1">
      <alignment horizontal="center" vertical="center"/>
    </xf>
    <xf numFmtId="0" fontId="13" fillId="0" borderId="0" xfId="3" applyFont="1" applyAlignment="1">
      <alignment vertical="center"/>
    </xf>
    <xf numFmtId="0" fontId="13" fillId="0" borderId="14" xfId="3" applyFont="1" applyBorder="1" applyAlignment="1">
      <alignment horizontal="center" vertical="center" wrapText="1"/>
    </xf>
    <xf numFmtId="0" fontId="13" fillId="0" borderId="8" xfId="3" applyFont="1" applyBorder="1" applyAlignment="1">
      <alignment horizontal="center" vertical="center" wrapText="1"/>
    </xf>
    <xf numFmtId="0" fontId="13" fillId="0" borderId="9" xfId="3" applyFont="1" applyBorder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0" fontId="13" fillId="9" borderId="15" xfId="3" applyFont="1" applyFill="1" applyBorder="1" applyAlignment="1">
      <alignment horizontal="center" vertical="center" wrapText="1"/>
    </xf>
    <xf numFmtId="8" fontId="1" fillId="9" borderId="0" xfId="3" applyNumberFormat="1" applyFill="1" applyAlignment="1">
      <alignment horizontal="center" vertical="center"/>
    </xf>
    <xf numFmtId="8" fontId="13" fillId="9" borderId="15" xfId="3" applyNumberFormat="1" applyFont="1" applyFill="1" applyBorder="1" applyAlignment="1">
      <alignment horizontal="center" vertical="center" wrapText="1"/>
    </xf>
    <xf numFmtId="0" fontId="13" fillId="0" borderId="16" xfId="3" applyFont="1" applyBorder="1" applyAlignment="1">
      <alignment horizontal="center" vertical="center" wrapText="1"/>
    </xf>
    <xf numFmtId="0" fontId="1" fillId="0" borderId="0" xfId="3" applyAlignment="1">
      <alignment horizontal="center" vertical="center"/>
    </xf>
    <xf numFmtId="0" fontId="13" fillId="10" borderId="15" xfId="3" applyFont="1" applyFill="1" applyBorder="1" applyAlignment="1">
      <alignment horizontal="center" vertical="center" wrapText="1"/>
    </xf>
    <xf numFmtId="8" fontId="1" fillId="10" borderId="0" xfId="3" applyNumberFormat="1" applyFill="1" applyAlignment="1">
      <alignment horizontal="center" vertical="center"/>
    </xf>
    <xf numFmtId="8" fontId="13" fillId="10" borderId="15" xfId="3" applyNumberFormat="1" applyFont="1" applyFill="1" applyBorder="1" applyAlignment="1">
      <alignment horizontal="center" vertical="center" wrapText="1"/>
    </xf>
    <xf numFmtId="0" fontId="13" fillId="10" borderId="9" xfId="3" applyFont="1" applyFill="1" applyBorder="1" applyAlignment="1">
      <alignment horizontal="center" vertical="center" wrapText="1"/>
    </xf>
    <xf numFmtId="0" fontId="13" fillId="11" borderId="16" xfId="3" applyFont="1" applyFill="1" applyBorder="1" applyAlignment="1">
      <alignment horizontal="center" vertical="center" wrapText="1"/>
    </xf>
    <xf numFmtId="8" fontId="1" fillId="11" borderId="0" xfId="3" applyNumberFormat="1" applyFill="1" applyAlignment="1">
      <alignment horizontal="center" vertical="center"/>
    </xf>
    <xf numFmtId="8" fontId="13" fillId="11" borderId="15" xfId="3" applyNumberFormat="1" applyFont="1" applyFill="1" applyBorder="1" applyAlignment="1">
      <alignment horizontal="center" vertical="center" wrapText="1"/>
    </xf>
    <xf numFmtId="0" fontId="13" fillId="11" borderId="15" xfId="3" applyFont="1" applyFill="1" applyBorder="1" applyAlignment="1">
      <alignment horizontal="center" vertical="center" wrapText="1"/>
    </xf>
    <xf numFmtId="0" fontId="13" fillId="11" borderId="9" xfId="3" applyFont="1" applyFill="1" applyBorder="1" applyAlignment="1">
      <alignment horizontal="center" vertical="center" wrapText="1"/>
    </xf>
    <xf numFmtId="8" fontId="13" fillId="11" borderId="9" xfId="3" applyNumberFormat="1" applyFont="1" applyFill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8" fontId="1" fillId="0" borderId="0" xfId="3" applyNumberFormat="1"/>
    <xf numFmtId="0" fontId="13" fillId="0" borderId="7" xfId="3" applyFont="1" applyBorder="1" applyAlignment="1">
      <alignment horizontal="center" vertical="center" wrapText="1"/>
    </xf>
    <xf numFmtId="0" fontId="13" fillId="0" borderId="4" xfId="3" applyFont="1" applyBorder="1" applyAlignment="1">
      <alignment horizontal="center" vertical="center" wrapText="1"/>
    </xf>
    <xf numFmtId="0" fontId="13" fillId="0" borderId="19" xfId="3" applyFont="1" applyBorder="1" applyAlignment="1">
      <alignment horizontal="center" vertical="center" wrapText="1"/>
    </xf>
    <xf numFmtId="0" fontId="8" fillId="0" borderId="1" xfId="0" applyFont="1" applyBorder="1" applyAlignment="1">
      <alignment horizontal="right"/>
    </xf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wrapText="1"/>
    </xf>
    <xf numFmtId="14" fontId="17" fillId="0" borderId="0" xfId="0" applyNumberFormat="1" applyFont="1" applyProtection="1">
      <protection locked="0"/>
    </xf>
    <xf numFmtId="44" fontId="17" fillId="0" borderId="0" xfId="1" applyFont="1" applyFill="1" applyProtection="1">
      <protection locked="0"/>
    </xf>
    <xf numFmtId="0" fontId="17" fillId="0" borderId="0" xfId="0" applyFont="1" applyAlignment="1">
      <alignment horizontal="center"/>
    </xf>
    <xf numFmtId="0" fontId="18" fillId="0" borderId="0" xfId="0" applyFont="1"/>
    <xf numFmtId="14" fontId="18" fillId="0" borderId="0" xfId="0" applyNumberFormat="1" applyFont="1"/>
    <xf numFmtId="165" fontId="17" fillId="0" borderId="0" xfId="0" applyNumberFormat="1" applyFont="1"/>
    <xf numFmtId="165" fontId="17" fillId="0" borderId="2" xfId="0" applyNumberFormat="1" applyFont="1" applyBorder="1"/>
    <xf numFmtId="0" fontId="16" fillId="0" borderId="0" xfId="0" applyFont="1" applyProtection="1">
      <protection locked="0"/>
    </xf>
    <xf numFmtId="165" fontId="16" fillId="0" borderId="0" xfId="0" applyNumberFormat="1" applyFo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Continuous" wrapText="1"/>
    </xf>
    <xf numFmtId="0" fontId="19" fillId="0" borderId="0" xfId="2" applyFont="1" applyAlignment="1" applyProtection="1"/>
    <xf numFmtId="0" fontId="17" fillId="0" borderId="0" xfId="0" applyFont="1" applyAlignment="1">
      <alignment horizontal="right"/>
    </xf>
    <xf numFmtId="0" fontId="20" fillId="0" borderId="0" xfId="0" applyFont="1" applyAlignment="1">
      <alignment horizontal="centerContinuous"/>
    </xf>
    <xf numFmtId="0" fontId="17" fillId="0" borderId="0" xfId="0" applyFont="1" applyAlignment="1">
      <alignment horizontal="centerContinuous"/>
    </xf>
    <xf numFmtId="14" fontId="17" fillId="7" borderId="0" xfId="0" applyNumberFormat="1" applyFont="1" applyFill="1" applyProtection="1">
      <protection locked="0"/>
    </xf>
    <xf numFmtId="44" fontId="17" fillId="7" borderId="0" xfId="1" applyFont="1" applyFill="1" applyProtection="1">
      <protection locked="0"/>
    </xf>
    <xf numFmtId="44" fontId="17" fillId="7" borderId="0" xfId="1" applyFont="1" applyFill="1" applyBorder="1" applyProtection="1">
      <protection locked="0"/>
    </xf>
    <xf numFmtId="44" fontId="17" fillId="7" borderId="0" xfId="1" applyFont="1" applyFill="1" applyBorder="1" applyAlignment="1" applyProtection="1">
      <alignment horizontal="right"/>
      <protection locked="0"/>
    </xf>
    <xf numFmtId="14" fontId="21" fillId="0" borderId="0" xfId="0" applyNumberFormat="1" applyFont="1"/>
    <xf numFmtId="14" fontId="22" fillId="0" borderId="0" xfId="0" applyNumberFormat="1" applyFont="1"/>
    <xf numFmtId="44" fontId="8" fillId="2" borderId="0" xfId="1" applyFont="1" applyFill="1" applyProtection="1">
      <protection locked="0"/>
    </xf>
    <xf numFmtId="44" fontId="8" fillId="3" borderId="0" xfId="1" applyFont="1" applyFill="1"/>
    <xf numFmtId="14" fontId="17" fillId="0" borderId="0" xfId="0" applyNumberFormat="1" applyFont="1" applyAlignment="1">
      <alignment wrapText="1"/>
    </xf>
    <xf numFmtId="8" fontId="15" fillId="0" borderId="19" xfId="3" applyNumberFormat="1" applyFont="1" applyBorder="1" applyAlignment="1">
      <alignment horizontal="center"/>
    </xf>
    <xf numFmtId="8" fontId="15" fillId="0" borderId="24" xfId="3" applyNumberFormat="1" applyFont="1" applyBorder="1" applyAlignment="1">
      <alignment horizontal="center"/>
    </xf>
    <xf numFmtId="8" fontId="15" fillId="0" borderId="20" xfId="3" applyNumberFormat="1" applyFont="1" applyBorder="1" applyAlignment="1">
      <alignment horizontal="center"/>
    </xf>
    <xf numFmtId="165" fontId="1" fillId="0" borderId="19" xfId="3" applyNumberFormat="1" applyBorder="1" applyAlignment="1">
      <alignment horizontal="center"/>
    </xf>
    <xf numFmtId="165" fontId="1" fillId="0" borderId="24" xfId="3" applyNumberFormat="1" applyBorder="1" applyAlignment="1">
      <alignment horizontal="center"/>
    </xf>
    <xf numFmtId="165" fontId="1" fillId="0" borderId="20" xfId="3" applyNumberFormat="1" applyBorder="1" applyAlignment="1">
      <alignment horizontal="center"/>
    </xf>
    <xf numFmtId="0" fontId="14" fillId="0" borderId="0" xfId="3" applyFont="1" applyAlignment="1">
      <alignment horizontal="center"/>
    </xf>
    <xf numFmtId="0" fontId="13" fillId="0" borderId="11" xfId="3" applyFont="1" applyBorder="1" applyAlignment="1">
      <alignment horizontal="center" vertical="center"/>
    </xf>
    <xf numFmtId="0" fontId="13" fillId="0" borderId="12" xfId="3" applyFont="1" applyBorder="1" applyAlignment="1">
      <alignment horizontal="center" vertical="center"/>
    </xf>
    <xf numFmtId="0" fontId="13" fillId="0" borderId="13" xfId="3" applyFont="1" applyBorder="1" applyAlignment="1">
      <alignment horizontal="center" vertical="center"/>
    </xf>
    <xf numFmtId="8" fontId="15" fillId="0" borderId="21" xfId="3" applyNumberFormat="1" applyFont="1" applyBorder="1" applyAlignment="1">
      <alignment horizontal="center"/>
    </xf>
    <xf numFmtId="8" fontId="15" fillId="0" borderId="22" xfId="3" applyNumberFormat="1" applyFont="1" applyBorder="1" applyAlignment="1">
      <alignment horizontal="center"/>
    </xf>
    <xf numFmtId="8" fontId="15" fillId="0" borderId="23" xfId="3" applyNumberFormat="1" applyFont="1" applyBorder="1" applyAlignment="1">
      <alignment horizontal="center"/>
    </xf>
    <xf numFmtId="165" fontId="1" fillId="0" borderId="21" xfId="3" applyNumberFormat="1" applyBorder="1" applyAlignment="1">
      <alignment horizontal="center"/>
    </xf>
    <xf numFmtId="165" fontId="1" fillId="0" borderId="22" xfId="3" applyNumberFormat="1" applyBorder="1" applyAlignment="1">
      <alignment horizontal="center"/>
    </xf>
    <xf numFmtId="165" fontId="1" fillId="0" borderId="23" xfId="3" applyNumberFormat="1" applyBorder="1" applyAlignment="1">
      <alignment horizontal="center"/>
    </xf>
    <xf numFmtId="0" fontId="15" fillId="0" borderId="20" xfId="3" applyFont="1" applyBorder="1" applyAlignment="1">
      <alignment horizontal="center"/>
    </xf>
    <xf numFmtId="165" fontId="1" fillId="0" borderId="1" xfId="3" applyNumberFormat="1" applyBorder="1" applyAlignment="1">
      <alignment horizontal="center"/>
    </xf>
    <xf numFmtId="8" fontId="15" fillId="0" borderId="1" xfId="3" applyNumberFormat="1" applyFont="1" applyBorder="1" applyAlignment="1">
      <alignment horizontal="center"/>
    </xf>
    <xf numFmtId="0" fontId="15" fillId="0" borderId="1" xfId="3" applyFont="1" applyBorder="1" applyAlignment="1">
      <alignment horizontal="center"/>
    </xf>
    <xf numFmtId="0" fontId="12" fillId="0" borderId="0" xfId="3" applyFont="1" applyAlignment="1">
      <alignment horizontal="center"/>
    </xf>
    <xf numFmtId="0" fontId="13" fillId="0" borderId="7" xfId="3" applyFont="1" applyBorder="1" applyAlignment="1">
      <alignment horizontal="center" vertical="center" wrapText="1"/>
    </xf>
    <xf numFmtId="0" fontId="13" fillId="0" borderId="17" xfId="3" applyFont="1" applyBorder="1" applyAlignment="1">
      <alignment horizontal="center" vertical="center" wrapText="1"/>
    </xf>
    <xf numFmtId="0" fontId="13" fillId="0" borderId="5" xfId="3" applyFont="1" applyBorder="1" applyAlignment="1">
      <alignment horizontal="center" vertical="center" wrapText="1"/>
    </xf>
    <xf numFmtId="0" fontId="13" fillId="0" borderId="6" xfId="3" applyFont="1" applyBorder="1" applyAlignment="1">
      <alignment horizontal="center" vertical="center" wrapText="1"/>
    </xf>
    <xf numFmtId="0" fontId="13" fillId="0" borderId="18" xfId="3" applyFont="1" applyBorder="1" applyAlignment="1">
      <alignment horizontal="center" vertical="center" wrapText="1"/>
    </xf>
    <xf numFmtId="0" fontId="17" fillId="0" borderId="5" xfId="0" applyFont="1" applyBorder="1"/>
    <xf numFmtId="14" fontId="17" fillId="0" borderId="18" xfId="0" applyNumberFormat="1" applyFont="1" applyBorder="1" applyAlignment="1">
      <alignment wrapText="1"/>
    </xf>
    <xf numFmtId="0" fontId="16" fillId="0" borderId="18" xfId="0" applyFont="1" applyBorder="1" applyAlignment="1">
      <alignment horizontal="centerContinuous" wrapText="1"/>
    </xf>
    <xf numFmtId="0" fontId="16" fillId="0" borderId="18" xfId="0" applyFont="1" applyBorder="1" applyAlignment="1">
      <alignment horizontal="centerContinuous"/>
    </xf>
    <xf numFmtId="0" fontId="17" fillId="0" borderId="6" xfId="0" applyFont="1" applyBorder="1" applyAlignment="1">
      <alignment horizontal="center"/>
    </xf>
    <xf numFmtId="0" fontId="16" fillId="0" borderId="25" xfId="0" applyFont="1" applyBorder="1"/>
    <xf numFmtId="0" fontId="16" fillId="0" borderId="0" xfId="0" applyFont="1" applyBorder="1"/>
    <xf numFmtId="0" fontId="16" fillId="0" borderId="7" xfId="0" applyFont="1" applyBorder="1" applyAlignment="1">
      <alignment wrapText="1"/>
    </xf>
    <xf numFmtId="0" fontId="17" fillId="7" borderId="0" xfId="0" applyFont="1" applyFill="1" applyBorder="1"/>
    <xf numFmtId="165" fontId="17" fillId="0" borderId="0" xfId="0" applyNumberFormat="1" applyFont="1" applyBorder="1"/>
    <xf numFmtId="14" fontId="17" fillId="0" borderId="7" xfId="0" applyNumberFormat="1" applyFont="1" applyBorder="1"/>
    <xf numFmtId="165" fontId="17" fillId="7" borderId="0" xfId="0" applyNumberFormat="1" applyFont="1" applyFill="1" applyBorder="1"/>
    <xf numFmtId="0" fontId="16" fillId="0" borderId="26" xfId="0" applyFont="1" applyBorder="1"/>
    <xf numFmtId="14" fontId="17" fillId="0" borderId="27" xfId="0" applyNumberFormat="1" applyFont="1" applyBorder="1"/>
    <xf numFmtId="0" fontId="17" fillId="0" borderId="25" xfId="0" applyFont="1" applyBorder="1" applyAlignment="1">
      <alignment horizontal="left"/>
    </xf>
    <xf numFmtId="0" fontId="17" fillId="0" borderId="25" xfId="0" applyFont="1" applyBorder="1" applyAlignment="1">
      <alignment horizontal="right"/>
    </xf>
    <xf numFmtId="0" fontId="17" fillId="7" borderId="0" xfId="0" applyFont="1" applyFill="1" applyBorder="1" applyAlignment="1" applyProtection="1">
      <alignment horizontal="right"/>
      <protection locked="0"/>
    </xf>
    <xf numFmtId="0" fontId="17" fillId="0" borderId="25" xfId="0" applyFont="1" applyBorder="1"/>
    <xf numFmtId="0" fontId="17" fillId="0" borderId="17" xfId="0" applyFont="1" applyBorder="1"/>
    <xf numFmtId="0" fontId="16" fillId="0" borderId="0" xfId="0" applyFont="1" applyBorder="1" applyProtection="1">
      <protection locked="0"/>
    </xf>
    <xf numFmtId="0" fontId="17" fillId="0" borderId="7" xfId="0" applyFont="1" applyBorder="1"/>
    <xf numFmtId="0" fontId="16" fillId="0" borderId="29" xfId="0" applyFont="1" applyBorder="1"/>
    <xf numFmtId="0" fontId="16" fillId="0" borderId="10" xfId="0" applyFont="1" applyBorder="1" applyProtection="1">
      <protection locked="0"/>
    </xf>
    <xf numFmtId="0" fontId="17" fillId="0" borderId="8" xfId="0" applyFont="1" applyBorder="1"/>
    <xf numFmtId="0" fontId="17" fillId="7" borderId="0" xfId="0" applyFont="1" applyFill="1" applyBorder="1" applyProtection="1">
      <protection locked="0"/>
    </xf>
    <xf numFmtId="165" fontId="22" fillId="0" borderId="0" xfId="0" applyNumberFormat="1" applyFont="1"/>
    <xf numFmtId="165" fontId="21" fillId="0" borderId="0" xfId="0" applyNumberFormat="1" applyFont="1"/>
    <xf numFmtId="44" fontId="0" fillId="0" borderId="0" xfId="0" applyNumberFormat="1"/>
    <xf numFmtId="44" fontId="8" fillId="0" borderId="0" xfId="1" applyFont="1"/>
    <xf numFmtId="44" fontId="8" fillId="12" borderId="0" xfId="1" applyFont="1" applyFill="1"/>
    <xf numFmtId="9" fontId="0" fillId="6" borderId="0" xfId="0" applyNumberFormat="1" applyFill="1"/>
    <xf numFmtId="7" fontId="0" fillId="0" borderId="0" xfId="1" applyNumberFormat="1" applyFont="1" applyFill="1"/>
    <xf numFmtId="44" fontId="0" fillId="3" borderId="0" xfId="0" applyNumberFormat="1" applyFill="1"/>
    <xf numFmtId="44" fontId="0" fillId="12" borderId="0" xfId="0" applyNumberFormat="1" applyFill="1"/>
    <xf numFmtId="0" fontId="16" fillId="13" borderId="0" xfId="0" applyFont="1" applyFill="1" applyBorder="1" applyAlignment="1">
      <alignment wrapText="1"/>
    </xf>
    <xf numFmtId="165" fontId="17" fillId="13" borderId="0" xfId="0" applyNumberFormat="1" applyFont="1" applyFill="1" applyBorder="1"/>
    <xf numFmtId="165" fontId="17" fillId="13" borderId="0" xfId="0" applyNumberFormat="1" applyFont="1" applyFill="1" applyBorder="1" applyAlignment="1">
      <alignment horizontal="right"/>
    </xf>
    <xf numFmtId="165" fontId="17" fillId="13" borderId="2" xfId="0" applyNumberFormat="1" applyFont="1" applyFill="1" applyBorder="1"/>
    <xf numFmtId="165" fontId="16" fillId="13" borderId="10" xfId="0" applyNumberFormat="1" applyFont="1" applyFill="1" applyBorder="1"/>
    <xf numFmtId="165" fontId="16" fillId="13" borderId="0" xfId="0" applyNumberFormat="1" applyFont="1" applyFill="1" applyBorder="1" applyAlignment="1">
      <alignment wrapText="1"/>
    </xf>
    <xf numFmtId="0" fontId="16" fillId="9" borderId="0" xfId="0" applyFont="1" applyFill="1" applyBorder="1" applyAlignment="1">
      <alignment wrapText="1"/>
    </xf>
    <xf numFmtId="165" fontId="17" fillId="9" borderId="0" xfId="0" applyNumberFormat="1" applyFont="1" applyFill="1" applyBorder="1"/>
    <xf numFmtId="165" fontId="17" fillId="9" borderId="0" xfId="0" applyNumberFormat="1" applyFont="1" applyFill="1" applyBorder="1" applyAlignment="1">
      <alignment horizontal="right"/>
    </xf>
    <xf numFmtId="165" fontId="17" fillId="9" borderId="2" xfId="0" applyNumberFormat="1" applyFont="1" applyFill="1" applyBorder="1"/>
    <xf numFmtId="165" fontId="16" fillId="9" borderId="10" xfId="0" applyNumberFormat="1" applyFont="1" applyFill="1" applyBorder="1"/>
    <xf numFmtId="0" fontId="23" fillId="0" borderId="0" xfId="0" applyFont="1" applyAlignment="1"/>
    <xf numFmtId="0" fontId="24" fillId="0" borderId="0" xfId="0" applyFont="1" applyAlignment="1">
      <alignment horizontal="centerContinuous"/>
    </xf>
    <xf numFmtId="0" fontId="17" fillId="13" borderId="0" xfId="0" applyFont="1" applyFill="1" applyBorder="1"/>
    <xf numFmtId="0" fontId="17" fillId="9" borderId="0" xfId="0" applyFont="1" applyFill="1" applyBorder="1"/>
    <xf numFmtId="165" fontId="16" fillId="13" borderId="2" xfId="0" applyNumberFormat="1" applyFont="1" applyFill="1" applyBorder="1"/>
    <xf numFmtId="165" fontId="16" fillId="9" borderId="2" xfId="0" applyNumberFormat="1" applyFont="1" applyFill="1" applyBorder="1"/>
    <xf numFmtId="0" fontId="16" fillId="0" borderId="3" xfId="0" applyFont="1" applyBorder="1" applyProtection="1">
      <protection locked="0"/>
    </xf>
    <xf numFmtId="165" fontId="16" fillId="13" borderId="24" xfId="0" applyNumberFormat="1" applyFont="1" applyFill="1" applyBorder="1"/>
    <xf numFmtId="165" fontId="16" fillId="9" borderId="24" xfId="0" applyNumberFormat="1" applyFont="1" applyFill="1" applyBorder="1"/>
    <xf numFmtId="0" fontId="16" fillId="0" borderId="28" xfId="0" applyFont="1" applyBorder="1"/>
    <xf numFmtId="0" fontId="16" fillId="0" borderId="2" xfId="0" applyFont="1" applyFill="1" applyBorder="1" applyProtection="1">
      <protection locked="0"/>
    </xf>
    <xf numFmtId="165" fontId="16" fillId="0" borderId="2" xfId="0" applyNumberFormat="1" applyFont="1" applyFill="1" applyBorder="1" applyAlignment="1">
      <alignment horizontal="centerContinuous"/>
    </xf>
    <xf numFmtId="0" fontId="17" fillId="0" borderId="27" xfId="0" applyFont="1" applyFill="1" applyBorder="1"/>
  </cellXfs>
  <cellStyles count="4">
    <cellStyle name="Currency" xfId="1" builtinId="4"/>
    <cellStyle name="Hyperlink" xfId="2" builtinId="8"/>
    <cellStyle name="Normal" xfId="0" builtinId="0"/>
    <cellStyle name="Normal 2" xfId="3" xr:uid="{C0D17BC4-9DF2-4956-86C7-5D438538506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benefits.nmsu.edu/documents/NMSU-Critical-Illness-Flyer---English.pdf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s://benefits.nmsu.edu/documents/NMSU-Hospital-M2O-Flyer.pdf" TargetMode="External"/><Relationship Id="rId1" Type="http://schemas.openxmlformats.org/officeDocument/2006/relationships/hyperlink" Target="https://benefits.nmsu.edu/documents/NMSU-Accident-M2O-Flyer.pdf" TargetMode="External"/><Relationship Id="rId6" Type="http://schemas.openxmlformats.org/officeDocument/2006/relationships/hyperlink" Target="http://www.employeenavigator.com/" TargetMode="External"/><Relationship Id="rId5" Type="http://schemas.openxmlformats.org/officeDocument/2006/relationships/hyperlink" Target="https://benefits.nmsu.edu/documents/Benefit-Enrollment-Form-2022-0021.pdf" TargetMode="External"/><Relationship Id="rId4" Type="http://schemas.openxmlformats.org/officeDocument/2006/relationships/hyperlink" Target="https://benefits.nmsu.edu/insurance/voluntary-life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66"/>
  <sheetViews>
    <sheetView zoomScaleNormal="100" workbookViewId="0">
      <selection activeCell="P15" sqref="P15"/>
    </sheetView>
  </sheetViews>
  <sheetFormatPr defaultRowHeight="12.75"/>
  <cols>
    <col min="1" max="1" width="18.5703125" customWidth="1"/>
    <col min="2" max="2" width="15" customWidth="1"/>
    <col min="3" max="3" width="16.85546875" bestFit="1" customWidth="1"/>
    <col min="4" max="4" width="10.42578125" bestFit="1" customWidth="1"/>
    <col min="5" max="5" width="13.7109375" bestFit="1" customWidth="1"/>
    <col min="6" max="6" width="8.28515625" customWidth="1"/>
    <col min="7" max="7" width="9.28515625" bestFit="1" customWidth="1"/>
    <col min="8" max="8" width="12.28515625" bestFit="1" customWidth="1"/>
    <col min="11" max="11" width="12.5703125" bestFit="1" customWidth="1"/>
  </cols>
  <sheetData>
    <row r="1" spans="1:14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>
      <c r="A2" s="7" t="s">
        <v>1</v>
      </c>
    </row>
    <row r="4" spans="1:14">
      <c r="A4" t="s">
        <v>2</v>
      </c>
      <c r="B4" s="7" t="s">
        <v>3</v>
      </c>
      <c r="C4" t="s">
        <v>4</v>
      </c>
      <c r="D4" s="7" t="s">
        <v>5</v>
      </c>
      <c r="E4" t="s">
        <v>6</v>
      </c>
      <c r="G4" s="7" t="s">
        <v>7</v>
      </c>
    </row>
    <row r="5" spans="1:14">
      <c r="B5" s="7"/>
      <c r="D5" s="7"/>
      <c r="F5" s="7" t="s">
        <v>197</v>
      </c>
      <c r="G5" s="7" t="s">
        <v>198</v>
      </c>
      <c r="H5" s="7" t="s">
        <v>199</v>
      </c>
      <c r="I5" s="7" t="s">
        <v>200</v>
      </c>
    </row>
    <row r="6" spans="1:14" s="1" customFormat="1">
      <c r="A6" s="91">
        <f>Calculator!B4*2</f>
        <v>0</v>
      </c>
      <c r="B6" s="6">
        <f>IF(A6&gt;75000,75000,A6)</f>
        <v>0</v>
      </c>
      <c r="C6" s="6">
        <f>SUM(B6/1000)</f>
        <v>0</v>
      </c>
      <c r="D6" s="6">
        <f>SUM(C6*0.382)</f>
        <v>0</v>
      </c>
      <c r="E6" s="150">
        <v>0.4</v>
      </c>
      <c r="F6" s="92">
        <f>D7*E6</f>
        <v>0</v>
      </c>
      <c r="G6" s="92">
        <f>D7-F6</f>
        <v>0</v>
      </c>
      <c r="H6" s="149">
        <f>(F6*24)/18</f>
        <v>0</v>
      </c>
      <c r="I6" s="149">
        <f>(G6*24)/18</f>
        <v>0</v>
      </c>
      <c r="J6" s="151"/>
    </row>
    <row r="7" spans="1:14" s="1" customFormat="1">
      <c r="C7" s="148" t="s">
        <v>201</v>
      </c>
      <c r="D7" s="6">
        <f>D6/2</f>
        <v>0</v>
      </c>
      <c r="E7" s="150">
        <v>0.3</v>
      </c>
      <c r="F7" s="92">
        <f>D7*E7</f>
        <v>0</v>
      </c>
      <c r="G7" s="92">
        <f>D7-F7</f>
        <v>0</v>
      </c>
      <c r="H7" s="149">
        <f t="shared" ref="H7:H8" si="0">(F7*24)/18</f>
        <v>0</v>
      </c>
      <c r="I7" s="149">
        <f t="shared" ref="I7:I8" si="1">(G7*24)/18</f>
        <v>0</v>
      </c>
      <c r="J7" s="151"/>
    </row>
    <row r="8" spans="1:14">
      <c r="B8" s="6"/>
      <c r="C8" s="148" t="s">
        <v>202</v>
      </c>
      <c r="D8" s="6">
        <f>(D7*24)/18</f>
        <v>0</v>
      </c>
      <c r="E8" s="150">
        <v>0.18</v>
      </c>
      <c r="F8" s="92">
        <f>D7*E8</f>
        <v>0</v>
      </c>
      <c r="G8" s="92">
        <f>D7-F8</f>
        <v>0</v>
      </c>
      <c r="H8" s="149">
        <f t="shared" si="0"/>
        <v>0</v>
      </c>
      <c r="I8" s="149">
        <f t="shared" si="1"/>
        <v>0</v>
      </c>
    </row>
    <row r="9" spans="1:14">
      <c r="J9" t="s">
        <v>8</v>
      </c>
    </row>
    <row r="10" spans="1:14">
      <c r="A10" s="24" t="s">
        <v>9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</row>
    <row r="11" spans="1:14">
      <c r="A11" s="5" t="s">
        <v>10</v>
      </c>
    </row>
    <row r="13" spans="1:14">
      <c r="A13" t="s">
        <v>2</v>
      </c>
      <c r="B13" t="s">
        <v>11</v>
      </c>
      <c r="C13" t="s">
        <v>12</v>
      </c>
      <c r="D13" s="7" t="s">
        <v>13</v>
      </c>
      <c r="E13" t="s">
        <v>6</v>
      </c>
      <c r="G13" t="s">
        <v>7</v>
      </c>
    </row>
    <row r="14" spans="1:14">
      <c r="D14" s="7"/>
      <c r="G14" s="7" t="s">
        <v>197</v>
      </c>
      <c r="H14" s="7" t="s">
        <v>198</v>
      </c>
      <c r="I14" s="7" t="s">
        <v>199</v>
      </c>
      <c r="J14" s="7" t="s">
        <v>200</v>
      </c>
    </row>
    <row r="15" spans="1:14">
      <c r="A15" s="91">
        <f>Calculator!B4</f>
        <v>0</v>
      </c>
      <c r="B15">
        <f>IF(A15&gt;100000,100000,A15)</f>
        <v>0</v>
      </c>
      <c r="C15" s="11">
        <f>SUM(B15/12)</f>
        <v>0</v>
      </c>
      <c r="D15" s="6">
        <f>SUM(C15/100)</f>
        <v>0</v>
      </c>
      <c r="E15" s="6">
        <f>SUM(D15*0.14)</f>
        <v>0</v>
      </c>
      <c r="F15" s="150">
        <v>0.4</v>
      </c>
      <c r="G15" s="92">
        <f>E16*F15</f>
        <v>0</v>
      </c>
      <c r="H15" s="152">
        <f>E16-G15</f>
        <v>0</v>
      </c>
      <c r="I15" s="153">
        <f>(G15*24)/18</f>
        <v>0</v>
      </c>
      <c r="J15" s="153">
        <f>E17-I15</f>
        <v>0</v>
      </c>
      <c r="K15" s="147"/>
    </row>
    <row r="16" spans="1:14">
      <c r="A16" s="14" t="s">
        <v>14</v>
      </c>
      <c r="C16" s="10" t="s">
        <v>15</v>
      </c>
      <c r="D16" s="6"/>
      <c r="E16" s="6">
        <f>E15/2</f>
        <v>0</v>
      </c>
      <c r="F16" s="150">
        <v>0.3</v>
      </c>
      <c r="G16" s="92">
        <f>E16*F16</f>
        <v>0</v>
      </c>
      <c r="H16" s="152">
        <f>E16-G16</f>
        <v>0</v>
      </c>
      <c r="I16" s="153">
        <f>(G16*24)/18</f>
        <v>0</v>
      </c>
      <c r="J16" s="153">
        <f>E17-I16</f>
        <v>0</v>
      </c>
      <c r="K16" s="147"/>
    </row>
    <row r="17" spans="1:14">
      <c r="B17" s="6"/>
      <c r="C17" s="6"/>
      <c r="D17" s="6"/>
      <c r="E17" s="6">
        <f>(E16*24)/18</f>
        <v>0</v>
      </c>
      <c r="F17" s="150">
        <v>0.18</v>
      </c>
      <c r="G17" s="92">
        <f>E16*F17</f>
        <v>0</v>
      </c>
      <c r="H17" s="152">
        <f>E16-G17</f>
        <v>0</v>
      </c>
      <c r="I17" s="153">
        <f>(G17*24)/18</f>
        <v>0</v>
      </c>
      <c r="J17" s="153">
        <f>E17-I17</f>
        <v>0</v>
      </c>
      <c r="L17" s="147"/>
    </row>
    <row r="19" spans="1:14">
      <c r="A19" s="27" t="s">
        <v>16</v>
      </c>
      <c r="B19" s="25"/>
      <c r="C19" s="25"/>
      <c r="D19" s="25"/>
      <c r="F19" s="25"/>
      <c r="G19" s="23" t="s">
        <v>17</v>
      </c>
      <c r="H19" s="25"/>
      <c r="I19" s="25"/>
      <c r="J19" s="25"/>
      <c r="K19" s="24"/>
      <c r="L19" s="24"/>
      <c r="M19" s="24"/>
      <c r="N19" s="24"/>
    </row>
    <row r="20" spans="1:14">
      <c r="A20" s="7" t="s">
        <v>18</v>
      </c>
      <c r="B20" s="29" t="e">
        <f>Calculator!#REF!</f>
        <v>#REF!</v>
      </c>
      <c r="C20" t="s">
        <v>19</v>
      </c>
      <c r="D20" s="28" t="e">
        <f>((B20/1000)*B21)/2</f>
        <v>#REF!</v>
      </c>
      <c r="F20" s="7" t="s">
        <v>20</v>
      </c>
      <c r="H20" s="29" t="e">
        <f>Calculator!#REF!</f>
        <v>#REF!</v>
      </c>
      <c r="I20" t="s">
        <v>19</v>
      </c>
      <c r="K20" s="28" t="e">
        <f>((H20/1000)*H21)/2</f>
        <v>#REF!</v>
      </c>
    </row>
    <row r="21" spans="1:14">
      <c r="A21" s="7" t="s">
        <v>21</v>
      </c>
      <c r="B21" s="15" t="e">
        <f>Calculator!#REF!</f>
        <v>#REF!</v>
      </c>
      <c r="C21" t="s">
        <v>22</v>
      </c>
      <c r="D21" s="28" t="e">
        <f>(((B20/1000)*B21)*12)/18</f>
        <v>#REF!</v>
      </c>
      <c r="F21" s="7" t="s">
        <v>21</v>
      </c>
      <c r="H21" s="15" t="e">
        <f>Calculator!#REF!</f>
        <v>#REF!</v>
      </c>
      <c r="I21" t="s">
        <v>22</v>
      </c>
      <c r="K21" s="28" t="e">
        <f>(((H20/1000)*H21)*12)/18</f>
        <v>#REF!</v>
      </c>
    </row>
    <row r="23" spans="1:14">
      <c r="A23" t="s">
        <v>23</v>
      </c>
    </row>
    <row r="24" spans="1:14" s="2" customFormat="1">
      <c r="A24" s="4" t="s">
        <v>24</v>
      </c>
      <c r="B24" s="4" t="s">
        <v>25</v>
      </c>
      <c r="C24" s="4" t="s">
        <v>26</v>
      </c>
      <c r="D24" s="4" t="s">
        <v>27</v>
      </c>
      <c r="E24" s="4" t="s">
        <v>28</v>
      </c>
      <c r="F24" s="12" t="s">
        <v>29</v>
      </c>
    </row>
    <row r="25" spans="1:14" s="2" customFormat="1">
      <c r="A25" s="17">
        <v>47089</v>
      </c>
      <c r="B25" s="3">
        <f>SUM(A25+29)</f>
        <v>47118</v>
      </c>
      <c r="C25" s="16">
        <f>SUM(A25+30)</f>
        <v>47119</v>
      </c>
      <c r="D25" s="3">
        <f>SUM(A25+89)</f>
        <v>47178</v>
      </c>
      <c r="E25" s="3"/>
      <c r="F25" s="12" t="s">
        <v>30</v>
      </c>
      <c r="G25" s="8"/>
      <c r="H25" s="8"/>
      <c r="I25" s="8"/>
    </row>
    <row r="26" spans="1:14" s="2" customFormat="1">
      <c r="A26" s="17">
        <v>47090</v>
      </c>
      <c r="B26" s="3">
        <f t="shared" ref="B26:B32" si="2">SUM(A26+29)</f>
        <v>47119</v>
      </c>
      <c r="C26" s="16">
        <f t="shared" ref="C26:C32" si="3">SUM(A26+30)</f>
        <v>47120</v>
      </c>
      <c r="D26" s="3"/>
      <c r="E26" s="3"/>
      <c r="F26" s="8" t="s">
        <v>31</v>
      </c>
    </row>
    <row r="27" spans="1:14" s="2" customFormat="1">
      <c r="A27" s="17">
        <v>47091</v>
      </c>
      <c r="B27" s="3">
        <f>SUM(A27+29)</f>
        <v>47120</v>
      </c>
      <c r="C27" s="16">
        <f>SUM(A27+30)</f>
        <v>47121</v>
      </c>
      <c r="D27" s="3">
        <f>SUM(A27+89)</f>
        <v>47180</v>
      </c>
      <c r="E27" s="3"/>
      <c r="F27" s="12" t="s">
        <v>32</v>
      </c>
      <c r="G27" s="18"/>
      <c r="H27" s="18"/>
      <c r="I27" s="18"/>
      <c r="J27" s="19"/>
      <c r="K27" s="19"/>
      <c r="L27" s="19"/>
    </row>
    <row r="28" spans="1:14" s="2" customFormat="1">
      <c r="A28" s="17">
        <v>47092</v>
      </c>
      <c r="B28" s="3">
        <f>SUM(A28+29)</f>
        <v>47121</v>
      </c>
      <c r="C28" s="16">
        <f>SUM(A28+30)</f>
        <v>47122</v>
      </c>
      <c r="D28" s="3"/>
      <c r="E28" s="3"/>
      <c r="F28" s="12" t="s">
        <v>33</v>
      </c>
    </row>
    <row r="29" spans="1:14" s="2" customFormat="1">
      <c r="A29" s="17">
        <v>47093</v>
      </c>
      <c r="B29" s="3">
        <f t="shared" si="2"/>
        <v>47122</v>
      </c>
      <c r="C29" s="16">
        <f t="shared" si="3"/>
        <v>47123</v>
      </c>
      <c r="D29" s="3"/>
      <c r="E29" s="3"/>
      <c r="F29" s="8" t="s">
        <v>34</v>
      </c>
    </row>
    <row r="30" spans="1:14" s="2" customFormat="1">
      <c r="A30" s="17">
        <v>47094</v>
      </c>
      <c r="B30" s="3">
        <f t="shared" si="2"/>
        <v>47123</v>
      </c>
      <c r="C30" s="16">
        <f t="shared" si="3"/>
        <v>47124</v>
      </c>
      <c r="D30" s="3"/>
      <c r="E30" s="3"/>
      <c r="F30" s="12" t="s">
        <v>35</v>
      </c>
    </row>
    <row r="31" spans="1:14" s="2" customFormat="1">
      <c r="A31" s="17">
        <v>47095</v>
      </c>
      <c r="B31" s="3">
        <f t="shared" si="2"/>
        <v>47124</v>
      </c>
      <c r="C31" s="16">
        <f t="shared" si="3"/>
        <v>47125</v>
      </c>
      <c r="D31" s="3"/>
      <c r="E31" s="3"/>
      <c r="F31" s="12" t="s">
        <v>36</v>
      </c>
    </row>
    <row r="32" spans="1:14" s="2" customFormat="1">
      <c r="A32" s="17">
        <v>47096</v>
      </c>
      <c r="B32" s="3">
        <f t="shared" si="2"/>
        <v>47125</v>
      </c>
      <c r="C32" s="16">
        <f t="shared" si="3"/>
        <v>47126</v>
      </c>
      <c r="D32" s="3"/>
      <c r="E32" s="3"/>
      <c r="F32" s="12" t="s">
        <v>37</v>
      </c>
      <c r="G32" s="13"/>
      <c r="H32" s="13"/>
      <c r="I32" s="13"/>
      <c r="J32" s="13"/>
    </row>
    <row r="33" spans="1:10" s="2" customFormat="1">
      <c r="A33" s="17">
        <v>47097</v>
      </c>
      <c r="B33" s="3">
        <f>SUM(A33+29)</f>
        <v>47126</v>
      </c>
      <c r="C33" s="16">
        <f>SUM(A33+30)</f>
        <v>47127</v>
      </c>
      <c r="D33" s="3"/>
      <c r="E33" s="3"/>
      <c r="F33" s="12" t="s">
        <v>38</v>
      </c>
      <c r="G33" s="13"/>
      <c r="H33" s="13"/>
      <c r="I33" s="13"/>
      <c r="J33" s="13"/>
    </row>
    <row r="34" spans="1:10" s="2" customFormat="1">
      <c r="A34" s="17">
        <v>47098</v>
      </c>
      <c r="B34" s="3">
        <f>SUM(A34+29)</f>
        <v>47127</v>
      </c>
      <c r="C34" s="3">
        <f>SUM(A34+30)</f>
        <v>47128</v>
      </c>
      <c r="D34" s="20">
        <f>SUM(A34+89)</f>
        <v>47187</v>
      </c>
      <c r="E34" s="3">
        <f>SUM(A34+119)</f>
        <v>47217</v>
      </c>
      <c r="F34" s="12" t="s">
        <v>39</v>
      </c>
      <c r="G34" s="13"/>
      <c r="H34" s="13"/>
      <c r="I34" s="13"/>
      <c r="J34" s="13"/>
    </row>
    <row r="35" spans="1:10" s="2" customFormat="1">
      <c r="A35" s="3"/>
      <c r="B35" s="3"/>
      <c r="C35" s="3"/>
      <c r="D35" s="3"/>
      <c r="E35" s="3"/>
      <c r="F35" s="12"/>
      <c r="G35" s="13"/>
      <c r="H35" s="13"/>
      <c r="I35" s="13"/>
      <c r="J35" s="13"/>
    </row>
    <row r="36" spans="1:10" s="2" customFormat="1">
      <c r="A36" s="9" t="s">
        <v>40</v>
      </c>
    </row>
    <row r="37" spans="1:10" s="2" customFormat="1">
      <c r="A37" s="9" t="s">
        <v>41</v>
      </c>
    </row>
    <row r="38" spans="1:10" s="2" customFormat="1">
      <c r="A38" s="9" t="s">
        <v>42</v>
      </c>
    </row>
    <row r="39" spans="1:10" s="2" customFormat="1">
      <c r="A39" s="9" t="s">
        <v>43</v>
      </c>
    </row>
    <row r="40" spans="1:10" s="2" customFormat="1"/>
    <row r="41" spans="1:10" s="2" customFormat="1">
      <c r="A41" s="8" t="s">
        <v>44</v>
      </c>
    </row>
    <row r="42" spans="1:10" s="2" customFormat="1"/>
    <row r="43" spans="1:10" s="2" customFormat="1">
      <c r="A43" s="21" t="s">
        <v>2</v>
      </c>
      <c r="B43" s="21" t="s">
        <v>45</v>
      </c>
      <c r="C43" s="21" t="s">
        <v>46</v>
      </c>
    </row>
    <row r="44" spans="1:10" s="2" customFormat="1">
      <c r="A44" s="22" t="s">
        <v>47</v>
      </c>
      <c r="B44" s="21">
        <v>82</v>
      </c>
      <c r="C44" s="21">
        <v>18</v>
      </c>
    </row>
    <row r="45" spans="1:10" s="2" customFormat="1">
      <c r="A45" s="22" t="s">
        <v>48</v>
      </c>
      <c r="B45" s="21">
        <v>70</v>
      </c>
      <c r="C45" s="21">
        <v>30</v>
      </c>
    </row>
    <row r="46" spans="1:10" s="2" customFormat="1">
      <c r="A46" s="22" t="s">
        <v>49</v>
      </c>
      <c r="B46" s="21">
        <v>60</v>
      </c>
      <c r="C46" s="21">
        <v>40</v>
      </c>
    </row>
    <row r="47" spans="1:10" s="2" customFormat="1">
      <c r="A47" s="13" t="s">
        <v>50</v>
      </c>
    </row>
    <row r="48" spans="1:10" s="2" customFormat="1"/>
    <row r="49" s="2" customFormat="1"/>
    <row r="50" s="2" customFormat="1"/>
    <row r="51" s="2" customFormat="1"/>
    <row r="52" s="2" customFormat="1"/>
    <row r="53" s="2" customFormat="1"/>
    <row r="54" s="2" customFormat="1"/>
    <row r="55" s="2" customFormat="1"/>
    <row r="56" s="2" customFormat="1"/>
    <row r="57" s="2" customFormat="1"/>
    <row r="58" s="2" customFormat="1"/>
    <row r="59" s="2" customFormat="1"/>
    <row r="60" s="2" customFormat="1"/>
    <row r="61" s="2" customFormat="1"/>
    <row r="62" s="2" customFormat="1"/>
    <row r="63" s="2" customFormat="1"/>
    <row r="64" s="2" customFormat="1"/>
    <row r="65" s="2" customFormat="1"/>
    <row r="66" s="2" customFormat="1"/>
    <row r="67" s="2" customFormat="1"/>
    <row r="68" s="2" customFormat="1"/>
    <row r="69" s="2" customFormat="1"/>
    <row r="70" s="2" customFormat="1"/>
    <row r="71" s="2" customFormat="1"/>
    <row r="72" s="2" customFormat="1"/>
    <row r="73" s="2" customFormat="1"/>
    <row r="74" s="2" customFormat="1"/>
    <row r="75" s="2" customFormat="1"/>
    <row r="76" s="2" customFormat="1"/>
    <row r="77" s="2" customFormat="1"/>
    <row r="78" s="2" customFormat="1"/>
    <row r="79" s="2" customFormat="1"/>
    <row r="80" s="2" customFormat="1"/>
    <row r="81" s="2" customFormat="1"/>
    <row r="82" s="2" customFormat="1"/>
    <row r="83" s="2" customFormat="1"/>
    <row r="84" s="2" customFormat="1"/>
    <row r="85" s="2" customFormat="1"/>
    <row r="86" s="2" customFormat="1"/>
    <row r="87" s="2" customFormat="1"/>
    <row r="88" s="2" customFormat="1"/>
    <row r="89" s="2" customFormat="1"/>
    <row r="90" s="2" customFormat="1"/>
    <row r="91" s="2" customFormat="1"/>
    <row r="92" s="2" customFormat="1"/>
    <row r="93" s="2" customFormat="1"/>
    <row r="94" s="2" customFormat="1"/>
    <row r="95" s="2" customFormat="1"/>
    <row r="96" s="2" customFormat="1"/>
    <row r="97" s="2" customFormat="1"/>
    <row r="98" s="2" customFormat="1"/>
    <row r="99" s="2" customFormat="1"/>
    <row r="100" s="2" customFormat="1"/>
    <row r="101" s="2" customFormat="1"/>
    <row r="102" s="2" customFormat="1"/>
    <row r="103" s="2" customFormat="1"/>
    <row r="104" s="2" customFormat="1"/>
    <row r="105" s="2" customFormat="1"/>
    <row r="106" s="2" customFormat="1"/>
    <row r="107" s="2" customFormat="1"/>
    <row r="108" s="2" customFormat="1"/>
    <row r="109" s="2" customFormat="1"/>
    <row r="110" s="2" customFormat="1"/>
    <row r="111" s="2" customFormat="1"/>
    <row r="112" s="2" customFormat="1"/>
    <row r="113" s="2" customFormat="1"/>
    <row r="114" s="2" customFormat="1"/>
    <row r="115" s="2" customFormat="1"/>
    <row r="116" s="2" customFormat="1"/>
    <row r="117" s="2" customFormat="1"/>
    <row r="118" s="2" customFormat="1"/>
    <row r="119" s="2" customFormat="1"/>
    <row r="120" s="2" customFormat="1"/>
    <row r="121" s="2" customFormat="1"/>
    <row r="122" s="2" customFormat="1"/>
    <row r="123" s="2" customFormat="1"/>
    <row r="124" s="2" customFormat="1"/>
    <row r="125" s="2" customFormat="1"/>
    <row r="126" s="2" customFormat="1"/>
    <row r="127" s="2" customFormat="1"/>
    <row r="128" s="2" customFormat="1"/>
    <row r="129" s="2" customFormat="1"/>
    <row r="130" s="2" customFormat="1"/>
    <row r="131" s="2" customFormat="1"/>
    <row r="132" s="2" customFormat="1"/>
    <row r="133" s="2" customFormat="1"/>
    <row r="134" s="2" customFormat="1"/>
    <row r="135" s="2" customFormat="1"/>
    <row r="136" s="2" customFormat="1"/>
    <row r="137" s="2" customFormat="1"/>
    <row r="138" s="2" customFormat="1"/>
    <row r="139" s="2" customFormat="1"/>
    <row r="140" s="2" customFormat="1"/>
    <row r="141" s="2" customFormat="1"/>
    <row r="142" s="2" customFormat="1"/>
    <row r="143" s="2" customFormat="1"/>
    <row r="144" s="2" customFormat="1"/>
    <row r="145" s="2" customFormat="1"/>
    <row r="146" s="2" customFormat="1"/>
    <row r="147" s="2" customFormat="1"/>
    <row r="148" s="2" customFormat="1"/>
    <row r="149" s="2" customFormat="1"/>
    <row r="150" s="2" customFormat="1"/>
    <row r="151" s="2" customFormat="1"/>
    <row r="152" s="2" customFormat="1"/>
    <row r="153" s="2" customFormat="1"/>
    <row r="154" s="2" customFormat="1"/>
    <row r="155" s="2" customFormat="1"/>
    <row r="156" s="2" customFormat="1"/>
    <row r="157" s="2" customFormat="1"/>
    <row r="158" s="2" customFormat="1"/>
    <row r="159" s="2" customFormat="1"/>
    <row r="160" s="2" customFormat="1"/>
    <row r="161" spans="5:7" s="2" customFormat="1"/>
    <row r="162" spans="5:7" s="2" customFormat="1"/>
    <row r="163" spans="5:7" s="2" customFormat="1"/>
    <row r="164" spans="5:7" s="2" customFormat="1"/>
    <row r="165" spans="5:7" s="2" customFormat="1"/>
    <row r="166" spans="5:7">
      <c r="E166" s="2"/>
      <c r="F166" s="2"/>
      <c r="G166" s="2"/>
    </row>
  </sheetData>
  <sheetProtection sheet="1" objects="1" scenarios="1"/>
  <phoneticPr fontId="3" type="noConversion"/>
  <pageMargins left="0.75" right="0.75" top="1" bottom="1" header="0.5" footer="0.5"/>
  <pageSetup scale="7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47"/>
  <sheetViews>
    <sheetView tabSelected="1" zoomScale="120" zoomScaleNormal="120" workbookViewId="0">
      <selection activeCell="D4" sqref="D4"/>
    </sheetView>
  </sheetViews>
  <sheetFormatPr defaultRowHeight="12.75"/>
  <cols>
    <col min="1" max="1" width="30.7109375" customWidth="1"/>
    <col min="2" max="2" width="34.5703125" customWidth="1"/>
    <col min="3" max="3" width="13.28515625" customWidth="1"/>
    <col min="4" max="4" width="12.140625" customWidth="1"/>
    <col min="5" max="5" width="12.140625" bestFit="1" customWidth="1"/>
    <col min="6" max="6" width="11.85546875" customWidth="1"/>
    <col min="7" max="7" width="12.28515625" bestFit="1" customWidth="1"/>
    <col min="8" max="8" width="18.85546875" customWidth="1"/>
    <col min="9" max="9" width="25.28515625" customWidth="1"/>
  </cols>
  <sheetData>
    <row r="1" spans="1:9" s="68" customFormat="1" ht="18.75">
      <c r="A1" s="83" t="s">
        <v>51</v>
      </c>
      <c r="B1" s="166"/>
      <c r="C1" s="84"/>
      <c r="D1" s="84"/>
      <c r="E1" s="84"/>
      <c r="F1" s="84"/>
      <c r="G1" s="84"/>
      <c r="I1" s="69"/>
    </row>
    <row r="2" spans="1:9" s="68" customFormat="1" ht="15.75">
      <c r="A2" s="165" t="s">
        <v>203</v>
      </c>
      <c r="B2" s="84"/>
      <c r="C2" s="84"/>
      <c r="D2" s="84"/>
      <c r="E2" s="84"/>
      <c r="I2" s="69"/>
    </row>
    <row r="3" spans="1:9" s="68" customFormat="1">
      <c r="A3" s="68" t="s">
        <v>52</v>
      </c>
      <c r="B3" s="85"/>
      <c r="C3" s="70"/>
      <c r="D3" s="70"/>
      <c r="E3" s="70"/>
    </row>
    <row r="4" spans="1:9" s="68" customFormat="1">
      <c r="A4" s="68" t="s">
        <v>53</v>
      </c>
      <c r="B4" s="86"/>
      <c r="C4" s="71"/>
      <c r="D4" s="71"/>
      <c r="E4" s="71"/>
      <c r="F4" s="72"/>
      <c r="G4" s="72"/>
      <c r="H4" s="72"/>
    </row>
    <row r="5" spans="1:9" s="68" customFormat="1">
      <c r="A5" s="73" t="s">
        <v>54</v>
      </c>
      <c r="B5" s="74">
        <f>B3+30</f>
        <v>30</v>
      </c>
      <c r="C5" s="74"/>
      <c r="D5" s="74"/>
      <c r="E5" s="74"/>
      <c r="F5" s="72"/>
      <c r="G5" s="72"/>
      <c r="H5" s="72"/>
    </row>
    <row r="6" spans="1:9" s="68" customFormat="1" ht="13.5" thickBot="1">
      <c r="A6" s="68" t="s">
        <v>55</v>
      </c>
      <c r="B6" s="93">
        <f>B3+89</f>
        <v>89</v>
      </c>
      <c r="C6" s="69"/>
      <c r="D6" s="69"/>
      <c r="E6" s="69"/>
      <c r="F6" s="72"/>
      <c r="G6" s="72"/>
      <c r="H6" s="72"/>
    </row>
    <row r="7" spans="1:9" s="68" customFormat="1">
      <c r="A7" s="120"/>
      <c r="B7" s="121"/>
      <c r="C7" s="122" t="s">
        <v>56</v>
      </c>
      <c r="D7" s="122"/>
      <c r="E7" s="122"/>
      <c r="F7" s="123"/>
      <c r="G7" s="124"/>
      <c r="H7" s="72"/>
    </row>
    <row r="8" spans="1:9" s="68" customFormat="1" ht="25.5">
      <c r="A8" s="125" t="s">
        <v>57</v>
      </c>
      <c r="B8" s="126" t="s">
        <v>58</v>
      </c>
      <c r="C8" s="154" t="s">
        <v>192</v>
      </c>
      <c r="D8" s="154" t="s">
        <v>193</v>
      </c>
      <c r="E8" s="160" t="s">
        <v>194</v>
      </c>
      <c r="F8" s="160" t="s">
        <v>195</v>
      </c>
      <c r="G8" s="127" t="s">
        <v>59</v>
      </c>
    </row>
    <row r="9" spans="1:9" s="68" customFormat="1">
      <c r="A9" s="125" t="s">
        <v>60</v>
      </c>
      <c r="B9" s="128"/>
      <c r="C9" s="155" cm="1">
        <f t="array" ref="C9">IFERROR(INDEX('MDV Rates'!D4:F15,MATCH(B9,'MDV Rates'!A4:A15,0),IF(B4&lt;57200,1,IF(B4&lt;=83200,2,3))),0)</f>
        <v>0</v>
      </c>
      <c r="D9" s="156" t="str">
        <f>IFERROR(_xlfn.XLOOKUP(B9,'MDV Rates'!A4:A15,'MDV Rates'!C4:C15) - C9,"$0.00")</f>
        <v>$0.00</v>
      </c>
      <c r="E9" s="161">
        <f>(C9*24)/18</f>
        <v>0</v>
      </c>
      <c r="F9" s="162" t="str">
        <f>IFERROR(_xlfn.XLOOKUP(B9,'MDV Rates'!A4:A15,'MDV Rates'!H4:H15) - E9,"$0.00")</f>
        <v>$0.00</v>
      </c>
      <c r="G9" s="130">
        <f>_xlfn.LET(_xlpm.target, B3+29,_xlpm.d, DAY(_xlpm.target),IF(_xlpm.d&lt;=15,DATE(YEAR(_xlpm.target),MONTH(_xlpm.target),16),EOMONTH(_xlpm.target,0)+1))</f>
        <v>32</v>
      </c>
      <c r="H9" s="145"/>
    </row>
    <row r="10" spans="1:9" s="68" customFormat="1">
      <c r="A10" s="125" t="s">
        <v>61</v>
      </c>
      <c r="B10" s="128"/>
      <c r="C10" s="155">
        <f>IFERROR(VLOOKUP(B10,'MDV Rates'!A21:F24,5,FALSE),0)</f>
        <v>0</v>
      </c>
      <c r="D10" s="156" t="str">
        <f>IFERROR(_xlfn.XLOOKUP(B10,'MDV Rates'!A21:A24,'MDV Rates'!C21:C24) - C10,"$0.00")</f>
        <v>$0.00</v>
      </c>
      <c r="E10" s="161">
        <f>(C10*24)/18</f>
        <v>0</v>
      </c>
      <c r="F10" s="162" t="str">
        <f>IFERROR(_xlfn.XLOOKUP(B10,'MDV Rates'!A21:A24,'MDV Rates'!H21:H24) - E10,"$0.00")</f>
        <v>$0.00</v>
      </c>
      <c r="G10" s="130">
        <f>_xlfn.LET(_xlpm.target, B3+29,_xlpm.d, DAY(_xlpm.target),IF(_xlpm.d&lt;=15,DATE(YEAR(_xlpm.target),MONTH(_xlpm.target),16),EOMONTH(_xlpm.target,0)+1))</f>
        <v>32</v>
      </c>
      <c r="H10" s="146"/>
      <c r="I10" s="75"/>
    </row>
    <row r="11" spans="1:9" s="68" customFormat="1">
      <c r="A11" s="125" t="s">
        <v>62</v>
      </c>
      <c r="B11" s="131"/>
      <c r="C11" s="155">
        <f>IFERROR(VLOOKUP(B11,'MDV Rates'!A28:F31,3,FALSE),0)</f>
        <v>0</v>
      </c>
      <c r="D11" s="156"/>
      <c r="E11" s="161">
        <f>(C11*24)/18</f>
        <v>0</v>
      </c>
      <c r="F11" s="162"/>
      <c r="G11" s="130">
        <f>_xlfn.LET(_xlpm.target, B3+29,EOMONTH(_xlpm.target,0)+1)</f>
        <v>32</v>
      </c>
      <c r="H11" s="90"/>
    </row>
    <row r="12" spans="1:9" s="68" customFormat="1">
      <c r="A12" s="125" t="s">
        <v>63</v>
      </c>
      <c r="B12" s="129">
        <f>Formulas!B6</f>
        <v>0</v>
      </c>
      <c r="C12" s="155">
        <f>IF(Calculator!B4&lt;57200,Formulas!F8,IF(Calculator!B4&gt;83200,Formulas!F6,Formulas!F7))</f>
        <v>0</v>
      </c>
      <c r="D12" s="156">
        <f>IF(Calculator!B4&lt;57200,Formulas!G8,IF(Calculator!B4&gt;83200,Formulas!G6,Formulas!G7))</f>
        <v>0</v>
      </c>
      <c r="E12" s="161">
        <f>IF(Calculator!B4&lt;57200,Formulas!H8,IF(Calculator!B4&gt;83200,Formulas!H6,Formulas!H7))</f>
        <v>0</v>
      </c>
      <c r="F12" s="162">
        <f>IF(Calculator!B4&lt;57200,Formulas!I8,IF(Calculator!B4&gt;83200,Formulas!I6,Formulas!I7))</f>
        <v>0</v>
      </c>
      <c r="G12" s="130">
        <f>_xlfn.LET(_xlpm.target, B3+29,_xlpm.d, DAY(_xlpm.target),IF(_xlpm.d&lt;=15,DATE(YEAR(_xlpm.target),MONTH(_xlpm.target),16),EOMONTH(_xlpm.target,0)+1))</f>
        <v>32</v>
      </c>
      <c r="H12" s="89"/>
    </row>
    <row r="13" spans="1:9" s="68" customFormat="1">
      <c r="A13" s="125" t="s">
        <v>64</v>
      </c>
      <c r="B13" s="129" t="s">
        <v>65</v>
      </c>
      <c r="C13" s="155">
        <f>IF(Calculator!B4&lt;57200,Formulas!G17,IF(Calculator!B4&gt;83200,Formulas!G15,Formulas!G16))</f>
        <v>0</v>
      </c>
      <c r="D13" s="156">
        <f>IF(Calculator!B4&lt;57200,Formulas!H17,IF(Calculator!B4&gt;83200,Formulas!H15,Formulas!H16))</f>
        <v>0</v>
      </c>
      <c r="E13" s="161">
        <f>IF(Calculator!B4&lt;57200,Formulas!I17,IF(Calculator!B4&gt;83200,Formulas!I15,Formulas!I16))</f>
        <v>0</v>
      </c>
      <c r="F13" s="162">
        <f>IF(Calculator!B4&lt;57200,Formulas!J17,IF(Calculator!B4&gt;83200,Formulas!J15,Formulas!J16))</f>
        <v>0</v>
      </c>
      <c r="G13" s="130">
        <f>_xlfn.LET(_xlpm.target, B3+29,_xlpm.d, DAY(_xlpm.target),IF(_xlpm.d&lt;=15,DATE(YEAR(_xlpm.target),MONTH(_xlpm.target),16),EOMONTH(_xlpm.target,0)+1))</f>
        <v>32</v>
      </c>
      <c r="H13" s="89"/>
    </row>
    <row r="14" spans="1:9" s="68" customFormat="1">
      <c r="A14" s="132" t="s">
        <v>66</v>
      </c>
      <c r="B14" s="76"/>
      <c r="C14" s="157"/>
      <c r="D14" s="157"/>
      <c r="E14" s="163"/>
      <c r="F14" s="163"/>
      <c r="G14" s="133"/>
    </row>
    <row r="15" spans="1:9" s="68" customFormat="1">
      <c r="A15" s="134" t="s">
        <v>67</v>
      </c>
      <c r="B15" s="87"/>
      <c r="C15" s="155">
        <f>IFERROR((B15/1000)*(VLOOKUP(B16,'VolLifeADD Rates'!A3:B13,2,FALSE)/2),0)</f>
        <v>0</v>
      </c>
      <c r="D15" s="155"/>
      <c r="E15" s="161">
        <f>(C15*24)/18</f>
        <v>0</v>
      </c>
      <c r="F15" s="161"/>
      <c r="G15" s="130">
        <f>_xlfn.LET(_xlpm.target, B3+29,_xlpm.d, DAY(_xlpm.target),IF(_xlpm.d&lt;=15,DATE(YEAR(_xlpm.target),MONTH(_xlpm.target),16),EOMONTH(_xlpm.target,0)+1))</f>
        <v>32</v>
      </c>
      <c r="H15" s="89"/>
    </row>
    <row r="16" spans="1:9" s="68" customFormat="1">
      <c r="A16" s="135" t="s">
        <v>68</v>
      </c>
      <c r="B16" s="136"/>
      <c r="C16" s="155"/>
      <c r="D16" s="155"/>
      <c r="E16" s="161"/>
      <c r="F16" s="161"/>
      <c r="G16" s="130"/>
      <c r="H16" s="89"/>
    </row>
    <row r="17" spans="1:8" s="68" customFormat="1">
      <c r="A17" s="137" t="s">
        <v>69</v>
      </c>
      <c r="B17" s="87"/>
      <c r="C17" s="155">
        <f>(IFERROR((B17/1000)*(VLOOKUP(B18,'VolLifeADD Rates'!A3:C13,3,FALSE)),0)/2)</f>
        <v>0</v>
      </c>
      <c r="D17" s="155"/>
      <c r="E17" s="161">
        <f>(C17*24)/18</f>
        <v>0</v>
      </c>
      <c r="F17" s="161"/>
      <c r="G17" s="130">
        <f>_xlfn.LET(_xlpm.target, B3+29,_xlpm.d, DAY(_xlpm.target),IF(_xlpm.d&lt;=15,DATE(YEAR(_xlpm.target),MONTH(_xlpm.target),16),EOMONTH(_xlpm.target,0)+1))</f>
        <v>32</v>
      </c>
      <c r="H17" s="89"/>
    </row>
    <row r="18" spans="1:8" s="68" customFormat="1">
      <c r="A18" s="135" t="s">
        <v>70</v>
      </c>
      <c r="B18" s="136"/>
      <c r="C18" s="155"/>
      <c r="D18" s="155"/>
      <c r="E18" s="161"/>
      <c r="F18" s="161"/>
      <c r="G18" s="130"/>
      <c r="H18" s="89"/>
    </row>
    <row r="19" spans="1:8" s="68" customFormat="1">
      <c r="A19" s="134" t="s">
        <v>71</v>
      </c>
      <c r="B19" s="88"/>
      <c r="C19" s="156">
        <f>IF(B19="Option 1 $0.90","$0.45",IF(B19="Option 2 $1.80","$.90",0))</f>
        <v>0</v>
      </c>
      <c r="D19" s="156"/>
      <c r="E19" s="161">
        <f>(C19*24)/18</f>
        <v>0</v>
      </c>
      <c r="F19" s="161"/>
      <c r="G19" s="130">
        <f>_xlfn.LET(_xlpm.target, B3+29,_xlpm.d, DAY(_xlpm.target),IF(_xlpm.d&lt;=15,DATE(YEAR(_xlpm.target),MONTH(_xlpm.target),16),EOMONTH(_xlpm.target,0)+1))</f>
        <v>32</v>
      </c>
      <c r="H19" s="89"/>
    </row>
    <row r="20" spans="1:8" s="68" customFormat="1">
      <c r="A20" s="125" t="s">
        <v>72</v>
      </c>
      <c r="B20" s="129"/>
      <c r="C20" s="155"/>
      <c r="D20" s="155"/>
      <c r="E20" s="161"/>
      <c r="F20" s="161"/>
      <c r="G20" s="130"/>
      <c r="H20" s="89"/>
    </row>
    <row r="21" spans="1:8" s="68" customFormat="1">
      <c r="A21" s="137" t="s">
        <v>18</v>
      </c>
      <c r="B21" s="87"/>
      <c r="C21" s="155">
        <f>IF(B22="Individual Plan $0.021",((B21/1000)*0.021)/2,((B21/1000*0.032)/2))</f>
        <v>0</v>
      </c>
      <c r="D21" s="155"/>
      <c r="E21" s="161">
        <f>(C21*24)/18</f>
        <v>0</v>
      </c>
      <c r="F21" s="161"/>
      <c r="G21" s="130">
        <f>_xlfn.LET(_xlpm.target, B3+29,_xlpm.d, DAY(_xlpm.target),IF(_xlpm.d&lt;=15,DATE(YEAR(_xlpm.target),MONTH(_xlpm.target),16),EOMONTH(_xlpm.target,0)+1))</f>
        <v>32</v>
      </c>
      <c r="H21" s="89"/>
    </row>
    <row r="22" spans="1:8" s="68" customFormat="1">
      <c r="A22" s="137" t="s">
        <v>73</v>
      </c>
      <c r="B22" s="144"/>
      <c r="C22" s="167"/>
      <c r="D22" s="167"/>
      <c r="E22" s="168"/>
      <c r="F22" s="168"/>
      <c r="G22" s="140"/>
      <c r="H22" s="89"/>
    </row>
    <row r="23" spans="1:8" s="68" customFormat="1">
      <c r="A23" s="174" t="s">
        <v>204</v>
      </c>
      <c r="B23" s="171"/>
      <c r="C23" s="172">
        <f>SUM(C9:C22)</f>
        <v>0</v>
      </c>
      <c r="D23" s="172">
        <f>SUM(D9:D22)</f>
        <v>0</v>
      </c>
      <c r="E23" s="173">
        <f>SUM(E9:E22)</f>
        <v>0</v>
      </c>
      <c r="F23" s="173">
        <f>SUM(F9:F22)</f>
        <v>0</v>
      </c>
      <c r="G23" s="138"/>
      <c r="H23" s="89"/>
    </row>
    <row r="24" spans="1:8" s="68" customFormat="1">
      <c r="A24" s="132"/>
      <c r="B24" s="175"/>
      <c r="C24" s="176" t="s">
        <v>191</v>
      </c>
      <c r="D24" s="176"/>
      <c r="E24" s="176"/>
      <c r="F24" s="176"/>
      <c r="G24" s="177"/>
      <c r="H24" s="89"/>
    </row>
    <row r="25" spans="1:8" s="68" customFormat="1" ht="25.5">
      <c r="A25" s="125" t="s">
        <v>74</v>
      </c>
      <c r="B25" s="139" t="s">
        <v>58</v>
      </c>
      <c r="C25" s="159" t="s">
        <v>196</v>
      </c>
      <c r="D25" s="154" t="s">
        <v>193</v>
      </c>
      <c r="E25" s="160" t="s">
        <v>194</v>
      </c>
      <c r="F25" s="160" t="s">
        <v>195</v>
      </c>
      <c r="G25" s="127" t="s">
        <v>59</v>
      </c>
      <c r="H25" s="89"/>
    </row>
    <row r="26" spans="1:8" s="68" customFormat="1">
      <c r="A26" s="125" t="s">
        <v>75</v>
      </c>
      <c r="B26" s="144"/>
      <c r="C26" s="155">
        <f>IFERROR(VLOOKUP(B26,'Unum Rates'!A3:B10,2,FALSE),0)</f>
        <v>0</v>
      </c>
      <c r="D26" s="155"/>
      <c r="E26" s="161">
        <f>(C26*12)/8</f>
        <v>0</v>
      </c>
      <c r="F26" s="161"/>
      <c r="G26" s="130">
        <f>_xlfn.LET(_xlpm.target, B3+29,EOMONTH(_xlpm.target,0)+1)</f>
        <v>32</v>
      </c>
      <c r="H26" s="89"/>
    </row>
    <row r="27" spans="1:8" s="68" customFormat="1">
      <c r="A27" s="125" t="s">
        <v>76</v>
      </c>
      <c r="B27" s="144"/>
      <c r="C27" s="155">
        <f>IFERROR(VLOOKUP(B27,'Unum Rates'!A24:B51,2,FALSE),0)</f>
        <v>0</v>
      </c>
      <c r="D27" s="155"/>
      <c r="E27" s="161">
        <f>(C27*12)/8</f>
        <v>0</v>
      </c>
      <c r="F27" s="161"/>
      <c r="G27" s="130">
        <f>_xlfn.LET(_xlpm.target, B3+29,EOMONTH(_xlpm.target,0)+1)</f>
        <v>32</v>
      </c>
      <c r="H27" s="89"/>
    </row>
    <row r="28" spans="1:8" s="68" customFormat="1">
      <c r="A28" s="125" t="s">
        <v>77</v>
      </c>
      <c r="B28" s="144"/>
      <c r="C28" s="155">
        <f>IFERROR(VLOOKUP(B28,'Unum Rates'!A24:C51,3,FALSE),0)</f>
        <v>0</v>
      </c>
      <c r="D28" s="155"/>
      <c r="E28" s="161">
        <f>(C28*12)/8</f>
        <v>0</v>
      </c>
      <c r="F28" s="161"/>
      <c r="G28" s="130">
        <f>_xlfn.LET(_xlpm.target, B3+29,EOMONTH(_xlpm.target,0)+1)</f>
        <v>32</v>
      </c>
      <c r="H28" s="89"/>
    </row>
    <row r="29" spans="1:8" s="68" customFormat="1">
      <c r="A29" s="125" t="s">
        <v>78</v>
      </c>
      <c r="B29" s="144"/>
      <c r="C29" s="155">
        <f>IFERROR(VLOOKUP(B29,'Unum Rates'!A14:B21,2,FALSE),0)</f>
        <v>0</v>
      </c>
      <c r="D29" s="155"/>
      <c r="E29" s="161">
        <f>(C29*12)/8</f>
        <v>0</v>
      </c>
      <c r="F29" s="161"/>
      <c r="G29" s="130">
        <f>_xlfn.LET(_xlpm.target, B3+29,EOMONTH(_xlpm.target,0)+1)</f>
        <v>32</v>
      </c>
      <c r="H29" s="89"/>
    </row>
    <row r="30" spans="1:8" s="68" customFormat="1">
      <c r="A30" s="125" t="s">
        <v>205</v>
      </c>
      <c r="B30" s="139"/>
      <c r="C30" s="169">
        <f>SUM(C26:C29)</f>
        <v>0</v>
      </c>
      <c r="D30" s="169">
        <f>SUM(D26:D29)</f>
        <v>0</v>
      </c>
      <c r="E30" s="170">
        <f>SUM(E26:E29)</f>
        <v>0</v>
      </c>
      <c r="F30" s="170">
        <f>SUM(F26:F29)</f>
        <v>0</v>
      </c>
      <c r="G30" s="140"/>
    </row>
    <row r="31" spans="1:8" s="68" customFormat="1">
      <c r="A31" s="125" t="s">
        <v>206</v>
      </c>
      <c r="B31" s="139"/>
      <c r="C31" s="169">
        <f>C23+C30</f>
        <v>0</v>
      </c>
      <c r="D31" s="169">
        <f>D23+D30</f>
        <v>0</v>
      </c>
      <c r="E31" s="170">
        <f>E30+E23</f>
        <v>0</v>
      </c>
      <c r="F31" s="170">
        <f>F30+F23</f>
        <v>0</v>
      </c>
      <c r="G31" s="140"/>
    </row>
    <row r="32" spans="1:8" s="68" customFormat="1" ht="13.5" thickBot="1">
      <c r="A32" s="141" t="s">
        <v>79</v>
      </c>
      <c r="B32" s="142"/>
      <c r="C32" s="158">
        <f>(C23*2)+C30</f>
        <v>0</v>
      </c>
      <c r="D32" s="158">
        <f>(D23*2)+D30</f>
        <v>0</v>
      </c>
      <c r="E32" s="164">
        <f>(E23*2)+E30</f>
        <v>0</v>
      </c>
      <c r="F32" s="164">
        <f>(F23*2)+F30</f>
        <v>0</v>
      </c>
      <c r="G32" s="143"/>
    </row>
    <row r="33" spans="1:5" s="68" customFormat="1">
      <c r="A33" s="79" t="s">
        <v>80</v>
      </c>
      <c r="B33" s="80"/>
      <c r="C33" s="80"/>
      <c r="D33" s="80"/>
      <c r="E33" s="80"/>
    </row>
    <row r="34" spans="1:5" s="68" customFormat="1">
      <c r="A34" s="68" t="s">
        <v>81</v>
      </c>
    </row>
    <row r="35" spans="1:5" s="68" customFormat="1">
      <c r="A35" s="67"/>
      <c r="B35" s="77"/>
      <c r="C35" s="78"/>
      <c r="D35" s="78"/>
    </row>
    <row r="36" spans="1:5" s="68" customFormat="1">
      <c r="A36" s="67" t="s">
        <v>82</v>
      </c>
    </row>
    <row r="37" spans="1:5" s="68" customFormat="1">
      <c r="A37" s="68" t="s">
        <v>83</v>
      </c>
      <c r="B37" s="81" t="s">
        <v>84</v>
      </c>
    </row>
    <row r="38" spans="1:5" s="68" customFormat="1">
      <c r="A38" s="68" t="s">
        <v>85</v>
      </c>
      <c r="B38" s="81" t="s">
        <v>86</v>
      </c>
    </row>
    <row r="39" spans="1:5" s="68" customFormat="1">
      <c r="A39" s="68" t="s">
        <v>75</v>
      </c>
      <c r="B39" s="81" t="s">
        <v>87</v>
      </c>
      <c r="C39" s="82"/>
    </row>
    <row r="40" spans="1:5" s="68" customFormat="1">
      <c r="A40" s="68" t="s">
        <v>78</v>
      </c>
      <c r="B40" s="81" t="s">
        <v>88</v>
      </c>
      <c r="C40" s="82"/>
    </row>
    <row r="41" spans="1:5" s="68" customFormat="1">
      <c r="A41" s="68" t="s">
        <v>76</v>
      </c>
      <c r="B41" s="81" t="s">
        <v>89</v>
      </c>
    </row>
    <row r="42" spans="1:5" s="68" customFormat="1">
      <c r="A42" s="67" t="s">
        <v>90</v>
      </c>
      <c r="B42" s="81"/>
    </row>
    <row r="43" spans="1:5" s="68" customFormat="1">
      <c r="A43" s="68" t="s">
        <v>91</v>
      </c>
      <c r="B43" s="81" t="s">
        <v>92</v>
      </c>
    </row>
    <row r="44" spans="1:5" s="68" customFormat="1">
      <c r="A44" s="68" t="s">
        <v>93</v>
      </c>
      <c r="B44" s="81" t="s">
        <v>94</v>
      </c>
    </row>
    <row r="45" spans="1:5" s="68" customFormat="1">
      <c r="A45" s="68" t="s">
        <v>95</v>
      </c>
      <c r="B45" s="81" t="s">
        <v>96</v>
      </c>
    </row>
    <row r="46" spans="1:5" s="68" customFormat="1">
      <c r="B46" s="81"/>
    </row>
    <row r="47" spans="1:5" s="68" customFormat="1"/>
  </sheetData>
  <sheetProtection algorithmName="SHA-512" hashValue="gIYQQ7U1LjT5EuYWffk28eWdLNAVoWf8ZTdIWvDohJrJ8LaYSf2Lh3fVG9Pq4m2h1orrHD/JPULfiBKKHefgig==" saltValue="MRREbIctDV/T0CQ8G589Ow==" spinCount="100000" sheet="1" objects="1" scenarios="1"/>
  <protectedRanges>
    <protectedRange sqref="B3:B4 B9:B11 B15:B19 B21:B22 B26:B29" name="Fillable fields" securityDescriptor="O:WDG:WDD:(A;;CC;;;S-1-5-21-2133076291-2032287874-1143292059-323067)"/>
  </protectedRanges>
  <phoneticPr fontId="3" type="noConversion"/>
  <dataValidations count="3">
    <dataValidation type="custom" showInputMessage="1" showErrorMessage="1" errorTitle="Invalid amount" error="Minimum $20,000, maximum $600,000. $10,000 increments." promptTitle="EE Vol Life Coverage" prompt="Minimum $20,000, maximum $600,000. $10,000 increments." sqref="B15" xr:uid="{0E1CF515-CDC3-4D73-BCB4-5429AB82A282}">
      <formula1>AND(B15&gt;=20000, B15&lt;=600000, MOD(B15,10000)=0)</formula1>
    </dataValidation>
    <dataValidation type="custom" allowBlank="1" showInputMessage="1" showErrorMessage="1" errorTitle="Invalid amount" error="Minimum $20,000, Maximum lesser of employee amount or $100,000. $10,000 increments." promptTitle="Spouse Vol Life Coverage" prompt="Minimum $20,000, Maximum lesser of employee amount or $100,000. $10,000 increments." sqref="B17" xr:uid="{41B57644-C670-490C-89E3-124E0B43AF2B}">
      <formula1>AND(B17&gt;=20000, B17&lt;=100000, MOD(B17,10000)=0, B17&lt;=B15)</formula1>
    </dataValidation>
    <dataValidation type="custom" allowBlank="1" showInputMessage="1" showErrorMessage="1" errorTitle="Invalid amount" error="Between 20,000-150,000 (increment of 10,000) or 200,000 or 250,000" sqref="B21" xr:uid="{63C05A71-80C9-4331-857E-847E8E67A0EB}">
      <formula1>OR(AND(B21&gt;=20000,B21&lt;=150000,MOD(B21,10000)=0),B21=200000,B21=250000)</formula1>
    </dataValidation>
  </dataValidations>
  <hyperlinks>
    <hyperlink ref="B39" r:id="rId1" xr:uid="{00000000-0004-0000-0200-000002000000}"/>
    <hyperlink ref="B40" r:id="rId2" xr:uid="{00000000-0004-0000-0200-000003000000}"/>
    <hyperlink ref="B41" r:id="rId3" xr:uid="{00000000-0004-0000-0200-000004000000}"/>
    <hyperlink ref="B38" r:id="rId4" xr:uid="{00000000-0004-0000-0200-000001000000}"/>
    <hyperlink ref="B43" r:id="rId5" xr:uid="{242F32DC-9060-4C98-92D0-A5383486FD7D}"/>
    <hyperlink ref="B45" r:id="rId6" xr:uid="{5787DDEF-96C2-4FEA-A155-367D2C6A4CA8}"/>
  </hyperlinks>
  <pageMargins left="0.25" right="0.25" top="0.75" bottom="0.75" header="0.3" footer="0.3"/>
  <pageSetup scale="82" orientation="portrait" r:id="rId7"/>
  <headerFooter alignWithMargins="0">
    <oddFooter>&amp;RRevision Date: 1/30/2026
Today's Date:&amp;D &amp;T</oddFooter>
  </headerFooter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B8F073DC-71F0-4128-8477-F38711BF3A69}">
          <x14:formula1>
            <xm:f>'MDV Rates'!$A$4:$A$15</xm:f>
          </x14:formula1>
          <xm:sqref>B9</xm:sqref>
        </x14:dataValidation>
        <x14:dataValidation type="list" allowBlank="1" showInputMessage="1" showErrorMessage="1" xr:uid="{4C561669-214D-4C0B-B940-9950FD1465B0}">
          <x14:formula1>
            <xm:f>'MDV Rates'!$A$21:$A$24</xm:f>
          </x14:formula1>
          <xm:sqref>B10</xm:sqref>
        </x14:dataValidation>
        <x14:dataValidation type="list" allowBlank="1" showInputMessage="1" showErrorMessage="1" xr:uid="{919561DB-3044-4180-93AD-8A3445F6787E}">
          <x14:formula1>
            <xm:f>'MDV Rates'!$A$28:$A$31</xm:f>
          </x14:formula1>
          <xm:sqref>B11</xm:sqref>
        </x14:dataValidation>
        <x14:dataValidation type="list" allowBlank="1" showInputMessage="1" showErrorMessage="1" xr:uid="{16D9DFC7-B849-42E9-883D-17FFEE6B32DC}">
          <x14:formula1>
            <xm:f>'Unum Rates'!$A$3:$A$6</xm:f>
          </x14:formula1>
          <xm:sqref>D39</xm:sqref>
        </x14:dataValidation>
        <x14:dataValidation type="list" allowBlank="1" showInputMessage="1" showErrorMessage="1" xr:uid="{A635A409-E471-4803-8FFD-2085CE379960}">
          <x14:formula1>
            <xm:f>'Unum Rates'!$B$2:$C$2</xm:f>
          </x14:formula1>
          <xm:sqref>D40</xm:sqref>
        </x14:dataValidation>
        <x14:dataValidation type="list" allowBlank="1" showInputMessage="1" showErrorMessage="1" xr:uid="{A15A5651-8F57-4BA2-B5CB-B6DFE94DDE2D}">
          <x14:formula1>
            <xm:f>'VolLifeADD Rates'!$A$17:$A$18</xm:f>
          </x14:formula1>
          <xm:sqref>B19</xm:sqref>
        </x14:dataValidation>
        <x14:dataValidation type="list" allowBlank="1" showInputMessage="1" showErrorMessage="1" promptTitle="Employee Age Range" prompt="Select your age range." xr:uid="{9B37EA6C-EBAA-469B-B330-E93A37811A2E}">
          <x14:formula1>
            <xm:f>'VolLifeADD Rates'!$A$3:$A$13</xm:f>
          </x14:formula1>
          <xm:sqref>B16</xm:sqref>
        </x14:dataValidation>
        <x14:dataValidation type="list" allowBlank="1" showInputMessage="1" showErrorMessage="1" promptTitle="Spouse's age" prompt="Select your spouse's age range." xr:uid="{9641AC81-5335-4B11-870E-650B63CF8BAC}">
          <x14:formula1>
            <xm:f>'VolLifeADD Rates'!$A$3:$A$13</xm:f>
          </x14:formula1>
          <xm:sqref>B18</xm:sqref>
        </x14:dataValidation>
        <x14:dataValidation type="list" allowBlank="1" showInputMessage="1" showErrorMessage="1" xr:uid="{2A9E8E98-74BB-40D1-983B-8AA28DFE0AC3}">
          <x14:formula1>
            <xm:f>'VolLifeADD Rates'!$B$17:$B$18</xm:f>
          </x14:formula1>
          <xm:sqref>B22</xm:sqref>
        </x14:dataValidation>
        <x14:dataValidation type="list" allowBlank="1" showInputMessage="1" showErrorMessage="1" xr:uid="{BB042E63-740E-4DAB-B056-FC6C41936BBB}">
          <x14:formula1>
            <xm:f>'Unum Rates'!$A$3:$A$10</xm:f>
          </x14:formula1>
          <xm:sqref>B26</xm:sqref>
        </x14:dataValidation>
        <x14:dataValidation type="list" allowBlank="1" showInputMessage="1" showErrorMessage="1" promptTitle="1/2 of Employee Coverage" prompt="Select Employee Coverage level and Spouse/DP Age Range" xr:uid="{1761B57B-DD1A-4B10-BDB3-40E0F5218D4E}">
          <x14:formula1>
            <xm:f>'Unum Rates'!$A$24:$A$51</xm:f>
          </x14:formula1>
          <xm:sqref>B28</xm:sqref>
        </x14:dataValidation>
        <x14:dataValidation type="list" allowBlank="1" showInputMessage="1" showErrorMessage="1" xr:uid="{D035DDE4-391E-4A1E-885B-863F1AC1E8CE}">
          <x14:formula1>
            <xm:f>'Unum Rates'!$A$14:$A$21</xm:f>
          </x14:formula1>
          <xm:sqref>B29</xm:sqref>
        </x14:dataValidation>
        <x14:dataValidation type="list" allowBlank="1" showInputMessage="1" showErrorMessage="1" promptTitle="$10,00 or $20,000 &amp; Employee Age" prompt="Select $10,00 or $20,000 &amp; Employee Age Range" xr:uid="{EE1597AD-41D3-4454-9ED4-08EB5A0378FA}">
          <x14:formula1>
            <xm:f>'Unum Rates'!$A$24:$A$51</xm:f>
          </x14:formula1>
          <xm:sqref>B27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60C13-9F8D-4A77-B7AC-744F01792B41}">
  <dimension ref="A1:C18"/>
  <sheetViews>
    <sheetView workbookViewId="0">
      <selection activeCell="A17" sqref="A17"/>
    </sheetView>
  </sheetViews>
  <sheetFormatPr defaultRowHeight="12.75"/>
  <cols>
    <col min="1" max="1" width="30.140625" bestFit="1" customWidth="1"/>
    <col min="2" max="2" width="23.85546875" bestFit="1" customWidth="1"/>
    <col min="3" max="3" width="7.7109375" bestFit="1" customWidth="1"/>
  </cols>
  <sheetData>
    <row r="1" spans="1:3">
      <c r="A1" s="33" t="s">
        <v>97</v>
      </c>
      <c r="B1" s="33" t="s">
        <v>98</v>
      </c>
      <c r="C1" s="33"/>
    </row>
    <row r="2" spans="1:3">
      <c r="A2" s="33" t="s">
        <v>99</v>
      </c>
      <c r="B2" s="34" t="s">
        <v>100</v>
      </c>
      <c r="C2" s="35" t="s">
        <v>101</v>
      </c>
    </row>
    <row r="3" spans="1:3">
      <c r="A3" s="66" t="s">
        <v>102</v>
      </c>
      <c r="B3" s="30">
        <v>0.03</v>
      </c>
      <c r="C3" s="32">
        <v>0.05</v>
      </c>
    </row>
    <row r="4" spans="1:3">
      <c r="A4" s="66" t="s">
        <v>103</v>
      </c>
      <c r="B4" s="31">
        <v>0.04</v>
      </c>
      <c r="C4" s="32">
        <v>0.05</v>
      </c>
    </row>
    <row r="5" spans="1:3">
      <c r="A5" s="66" t="s">
        <v>104</v>
      </c>
      <c r="B5" s="31">
        <v>0.05</v>
      </c>
      <c r="C5" s="32">
        <v>0.05</v>
      </c>
    </row>
    <row r="6" spans="1:3">
      <c r="A6" s="66" t="s">
        <v>105</v>
      </c>
      <c r="B6" s="31">
        <v>0.06</v>
      </c>
      <c r="C6" s="32">
        <v>0.06</v>
      </c>
    </row>
    <row r="7" spans="1:3">
      <c r="A7" s="66" t="s">
        <v>106</v>
      </c>
      <c r="B7" s="31">
        <v>7.0000000000000007E-2</v>
      </c>
      <c r="C7" s="32">
        <v>0.1</v>
      </c>
    </row>
    <row r="8" spans="1:3">
      <c r="A8" s="66" t="s">
        <v>107</v>
      </c>
      <c r="B8" s="31">
        <v>0.1</v>
      </c>
      <c r="C8" s="32">
        <v>0.15</v>
      </c>
    </row>
    <row r="9" spans="1:3">
      <c r="A9" s="66" t="s">
        <v>108</v>
      </c>
      <c r="B9" s="31">
        <v>0.18</v>
      </c>
      <c r="C9" s="32">
        <v>0.23</v>
      </c>
    </row>
    <row r="10" spans="1:3">
      <c r="A10" s="66" t="s">
        <v>109</v>
      </c>
      <c r="B10" s="31">
        <v>0.33</v>
      </c>
      <c r="C10" s="32">
        <v>0.43</v>
      </c>
    </row>
    <row r="11" spans="1:3">
      <c r="A11" s="66" t="s">
        <v>110</v>
      </c>
      <c r="B11" s="31">
        <v>0.45</v>
      </c>
      <c r="C11" s="32">
        <v>0.66</v>
      </c>
    </row>
    <row r="12" spans="1:3">
      <c r="A12" s="66" t="s">
        <v>111</v>
      </c>
      <c r="B12" s="31">
        <v>0.86</v>
      </c>
      <c r="C12" s="32">
        <v>1.0900000000000001</v>
      </c>
    </row>
    <row r="13" spans="1:3">
      <c r="A13" s="66" t="s">
        <v>112</v>
      </c>
      <c r="B13" s="31">
        <v>1.77</v>
      </c>
      <c r="C13" s="32">
        <v>1.7</v>
      </c>
    </row>
    <row r="15" spans="1:3">
      <c r="A15" s="33" t="s">
        <v>113</v>
      </c>
      <c r="B15" s="33" t="s">
        <v>114</v>
      </c>
      <c r="C15" s="33"/>
    </row>
    <row r="16" spans="1:3">
      <c r="A16" s="33" t="s">
        <v>115</v>
      </c>
      <c r="B16" s="33" t="s">
        <v>98</v>
      </c>
      <c r="C16" s="33"/>
    </row>
    <row r="17" spans="1:3">
      <c r="A17" s="36" t="s">
        <v>116</v>
      </c>
      <c r="B17" s="37" t="s">
        <v>117</v>
      </c>
      <c r="C17" s="37"/>
    </row>
    <row r="18" spans="1:3">
      <c r="A18" s="36" t="s">
        <v>118</v>
      </c>
      <c r="B18" s="37" t="s">
        <v>119</v>
      </c>
      <c r="C18" s="37"/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58AA1-9CEE-4D63-A888-2AE564E23341}">
  <dimension ref="A1:D51"/>
  <sheetViews>
    <sheetView workbookViewId="0">
      <selection activeCell="E9" sqref="E9"/>
    </sheetView>
  </sheetViews>
  <sheetFormatPr defaultRowHeight="12.75"/>
  <cols>
    <col min="1" max="1" width="41.42578125" bestFit="1" customWidth="1"/>
    <col min="2" max="2" width="8.5703125" bestFit="1" customWidth="1"/>
    <col min="3" max="3" width="6" bestFit="1" customWidth="1"/>
  </cols>
  <sheetData>
    <row r="1" spans="1:2">
      <c r="A1" s="26" t="s">
        <v>75</v>
      </c>
    </row>
    <row r="2" spans="1:2">
      <c r="A2" t="s">
        <v>120</v>
      </c>
      <c r="B2" t="s">
        <v>121</v>
      </c>
    </row>
    <row r="3" spans="1:2">
      <c r="A3" s="7" t="s">
        <v>122</v>
      </c>
      <c r="B3">
        <v>6.48</v>
      </c>
    </row>
    <row r="4" spans="1:2">
      <c r="A4" s="7" t="s">
        <v>123</v>
      </c>
      <c r="B4">
        <v>11.36</v>
      </c>
    </row>
    <row r="5" spans="1:2">
      <c r="A5" s="7" t="s">
        <v>124</v>
      </c>
      <c r="B5">
        <v>17.04</v>
      </c>
    </row>
    <row r="6" spans="1:2">
      <c r="A6" s="7" t="s">
        <v>125</v>
      </c>
      <c r="B6">
        <v>21.92</v>
      </c>
    </row>
    <row r="7" spans="1:2">
      <c r="A7" s="7" t="s">
        <v>126</v>
      </c>
      <c r="B7">
        <v>2.8</v>
      </c>
    </row>
    <row r="8" spans="1:2">
      <c r="A8" s="7" t="s">
        <v>127</v>
      </c>
      <c r="B8">
        <v>4.91</v>
      </c>
    </row>
    <row r="9" spans="1:2">
      <c r="A9" s="7" t="s">
        <v>128</v>
      </c>
      <c r="B9">
        <v>7.08</v>
      </c>
    </row>
    <row r="10" spans="1:2">
      <c r="A10" s="7" t="s">
        <v>129</v>
      </c>
      <c r="B10">
        <v>9.19</v>
      </c>
    </row>
    <row r="12" spans="1:2">
      <c r="A12" s="26" t="s">
        <v>78</v>
      </c>
    </row>
    <row r="13" spans="1:2">
      <c r="A13" s="7" t="s">
        <v>120</v>
      </c>
      <c r="B13" s="7" t="s">
        <v>121</v>
      </c>
    </row>
    <row r="14" spans="1:2">
      <c r="A14" s="7" t="s">
        <v>122</v>
      </c>
      <c r="B14">
        <v>32.5</v>
      </c>
    </row>
    <row r="15" spans="1:2">
      <c r="A15" s="7" t="s">
        <v>123</v>
      </c>
      <c r="B15">
        <v>63.59</v>
      </c>
    </row>
    <row r="16" spans="1:2">
      <c r="A16" s="7" t="s">
        <v>124</v>
      </c>
      <c r="B16">
        <v>43.79</v>
      </c>
    </row>
    <row r="17" spans="1:4">
      <c r="A17" s="7" t="s">
        <v>125</v>
      </c>
      <c r="B17">
        <v>74.88</v>
      </c>
    </row>
    <row r="18" spans="1:4">
      <c r="A18" s="7" t="s">
        <v>126</v>
      </c>
      <c r="B18">
        <v>14.48</v>
      </c>
    </row>
    <row r="19" spans="1:4">
      <c r="A19" s="7" t="s">
        <v>127</v>
      </c>
      <c r="B19">
        <v>28.38</v>
      </c>
    </row>
    <row r="20" spans="1:4">
      <c r="A20" s="7" t="s">
        <v>128</v>
      </c>
      <c r="B20">
        <v>19.87</v>
      </c>
    </row>
    <row r="21" spans="1:4">
      <c r="A21" s="7" t="s">
        <v>129</v>
      </c>
      <c r="B21">
        <v>33.770000000000003</v>
      </c>
    </row>
    <row r="23" spans="1:4">
      <c r="A23" s="26" t="s">
        <v>76</v>
      </c>
      <c r="B23" s="26" t="s">
        <v>130</v>
      </c>
      <c r="C23" s="26" t="s">
        <v>131</v>
      </c>
      <c r="D23" s="26"/>
    </row>
    <row r="24" spans="1:4">
      <c r="A24" s="7" t="s">
        <v>132</v>
      </c>
      <c r="B24" s="7">
        <v>2.4</v>
      </c>
      <c r="C24" s="7">
        <v>1.9</v>
      </c>
      <c r="D24" s="26"/>
    </row>
    <row r="25" spans="1:4">
      <c r="A25" s="7" t="s">
        <v>133</v>
      </c>
      <c r="B25">
        <v>2.9</v>
      </c>
      <c r="C25">
        <v>2.15</v>
      </c>
    </row>
    <row r="26" spans="1:4">
      <c r="A26" s="7" t="s">
        <v>134</v>
      </c>
      <c r="B26">
        <v>3.6</v>
      </c>
      <c r="C26">
        <v>2.5</v>
      </c>
    </row>
    <row r="27" spans="1:4">
      <c r="A27" s="7" t="s">
        <v>135</v>
      </c>
      <c r="B27">
        <v>4.4000000000000004</v>
      </c>
      <c r="C27">
        <v>2.9</v>
      </c>
    </row>
    <row r="28" spans="1:4">
      <c r="A28" s="7" t="s">
        <v>136</v>
      </c>
      <c r="B28">
        <v>5.9</v>
      </c>
      <c r="C28">
        <v>3.65</v>
      </c>
    </row>
    <row r="29" spans="1:4">
      <c r="A29" s="7" t="s">
        <v>137</v>
      </c>
      <c r="B29">
        <v>7.8</v>
      </c>
      <c r="C29">
        <v>4.5999999999999996</v>
      </c>
    </row>
    <row r="30" spans="1:4">
      <c r="A30" s="7" t="s">
        <v>138</v>
      </c>
      <c r="B30">
        <v>10.4</v>
      </c>
      <c r="C30">
        <v>5.9</v>
      </c>
    </row>
    <row r="31" spans="1:4">
      <c r="A31" s="7" t="s">
        <v>139</v>
      </c>
      <c r="B31">
        <v>14.2</v>
      </c>
      <c r="C31">
        <v>7.8</v>
      </c>
    </row>
    <row r="32" spans="1:4">
      <c r="A32" s="7" t="s">
        <v>140</v>
      </c>
      <c r="B32">
        <v>20</v>
      </c>
      <c r="C32">
        <v>10.7</v>
      </c>
    </row>
    <row r="33" spans="1:3">
      <c r="A33" s="7" t="s">
        <v>141</v>
      </c>
      <c r="B33">
        <v>29</v>
      </c>
      <c r="C33">
        <v>15.2</v>
      </c>
    </row>
    <row r="34" spans="1:3">
      <c r="A34" s="7" t="s">
        <v>142</v>
      </c>
      <c r="B34">
        <v>44</v>
      </c>
      <c r="C34">
        <v>22.7</v>
      </c>
    </row>
    <row r="35" spans="1:3">
      <c r="A35" s="7" t="s">
        <v>143</v>
      </c>
      <c r="B35">
        <v>62.8</v>
      </c>
      <c r="C35">
        <v>32.1</v>
      </c>
    </row>
    <row r="36" spans="1:3">
      <c r="A36" s="7" t="s">
        <v>144</v>
      </c>
      <c r="B36">
        <v>88.9</v>
      </c>
      <c r="C36">
        <v>45.15</v>
      </c>
    </row>
    <row r="37" spans="1:3">
      <c r="A37" s="7" t="s">
        <v>145</v>
      </c>
      <c r="B37">
        <v>141.19999999999999</v>
      </c>
      <c r="C37">
        <v>71.3</v>
      </c>
    </row>
    <row r="38" spans="1:3">
      <c r="A38" s="7" t="s">
        <v>146</v>
      </c>
      <c r="B38" s="7">
        <v>3.4</v>
      </c>
      <c r="C38" s="7">
        <v>2.4</v>
      </c>
    </row>
    <row r="39" spans="1:3">
      <c r="A39" s="7" t="s">
        <v>147</v>
      </c>
      <c r="B39">
        <v>4.4000000000000004</v>
      </c>
      <c r="C39">
        <v>2.9</v>
      </c>
    </row>
    <row r="40" spans="1:3">
      <c r="A40" s="7" t="s">
        <v>148</v>
      </c>
      <c r="B40">
        <v>5.8</v>
      </c>
      <c r="C40">
        <v>3.6</v>
      </c>
    </row>
    <row r="41" spans="1:3">
      <c r="A41" s="7" t="s">
        <v>149</v>
      </c>
      <c r="B41">
        <v>7.4</v>
      </c>
      <c r="C41">
        <v>4.4000000000000004</v>
      </c>
    </row>
    <row r="42" spans="1:3">
      <c r="A42" s="7" t="s">
        <v>150</v>
      </c>
      <c r="B42">
        <v>10.4</v>
      </c>
      <c r="C42">
        <v>5.9</v>
      </c>
    </row>
    <row r="43" spans="1:3">
      <c r="A43" s="7" t="s">
        <v>151</v>
      </c>
      <c r="B43">
        <v>14.2</v>
      </c>
      <c r="C43">
        <v>7.8</v>
      </c>
    </row>
    <row r="44" spans="1:3">
      <c r="A44" s="7" t="s">
        <v>152</v>
      </c>
      <c r="B44">
        <v>19.399999999999999</v>
      </c>
      <c r="C44">
        <v>10.4</v>
      </c>
    </row>
    <row r="45" spans="1:3">
      <c r="A45" s="7" t="s">
        <v>153</v>
      </c>
      <c r="B45">
        <v>27</v>
      </c>
      <c r="C45">
        <v>14.2</v>
      </c>
    </row>
    <row r="46" spans="1:3">
      <c r="A46" s="7" t="s">
        <v>154</v>
      </c>
      <c r="B46">
        <v>38.6</v>
      </c>
      <c r="C46">
        <v>20</v>
      </c>
    </row>
    <row r="47" spans="1:3">
      <c r="A47" s="7" t="s">
        <v>155</v>
      </c>
      <c r="B47">
        <v>56.6</v>
      </c>
      <c r="C47">
        <v>29</v>
      </c>
    </row>
    <row r="48" spans="1:3">
      <c r="A48" s="7" t="s">
        <v>156</v>
      </c>
      <c r="B48">
        <v>86.6</v>
      </c>
      <c r="C48">
        <v>44</v>
      </c>
    </row>
    <row r="49" spans="1:3">
      <c r="A49" s="7" t="s">
        <v>157</v>
      </c>
      <c r="B49">
        <v>124.2</v>
      </c>
      <c r="C49">
        <v>62.8</v>
      </c>
    </row>
    <row r="50" spans="1:3">
      <c r="A50" s="7" t="s">
        <v>158</v>
      </c>
      <c r="B50">
        <v>176.4</v>
      </c>
      <c r="C50">
        <v>88.9</v>
      </c>
    </row>
    <row r="51" spans="1:3">
      <c r="A51" s="7" t="s">
        <v>159</v>
      </c>
      <c r="B51">
        <v>281</v>
      </c>
      <c r="C51">
        <v>141.19999999999999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4A09E-1C20-4AAE-AA15-07E5E3C68DB1}">
  <sheetPr>
    <pageSetUpPr fitToPage="1"/>
  </sheetPr>
  <dimension ref="A1:N31"/>
  <sheetViews>
    <sheetView zoomScaleNormal="100" zoomScaleSheetLayoutView="100" workbookViewId="0">
      <selection activeCell="M4" sqref="M4"/>
    </sheetView>
  </sheetViews>
  <sheetFormatPr defaultColWidth="9.140625" defaultRowHeight="15"/>
  <cols>
    <col min="1" max="1" width="19.7109375" style="38" customWidth="1"/>
    <col min="2" max="2" width="19.7109375" style="38" hidden="1" customWidth="1"/>
    <col min="3" max="3" width="10.5703125" style="38" customWidth="1"/>
    <col min="4" max="4" width="10.140625" style="38" customWidth="1"/>
    <col min="5" max="6" width="10.42578125" style="38" customWidth="1"/>
    <col min="7" max="7" width="4.42578125" style="38" customWidth="1"/>
    <col min="8" max="10" width="10.42578125" style="38" customWidth="1"/>
    <col min="11" max="12" width="9.140625" style="38"/>
    <col min="13" max="13" width="12.85546875" style="38" bestFit="1" customWidth="1"/>
    <col min="14" max="14" width="37.42578125" style="38" customWidth="1"/>
    <col min="15" max="16384" width="9.140625" style="38"/>
  </cols>
  <sheetData>
    <row r="1" spans="1:14" ht="19.5" thickBot="1">
      <c r="C1" s="114" t="s">
        <v>160</v>
      </c>
      <c r="D1" s="114"/>
      <c r="E1" s="114"/>
      <c r="F1" s="114"/>
      <c r="G1" s="114"/>
      <c r="H1" s="114"/>
      <c r="I1" s="114"/>
      <c r="J1" s="114"/>
      <c r="K1" s="114"/>
    </row>
    <row r="2" spans="1:14" ht="15.75" thickBot="1">
      <c r="A2" s="39"/>
      <c r="B2" s="40"/>
      <c r="C2" s="101" t="s">
        <v>161</v>
      </c>
      <c r="D2" s="102"/>
      <c r="E2" s="102"/>
      <c r="F2" s="103"/>
      <c r="G2" s="41"/>
      <c r="H2" s="101" t="s">
        <v>162</v>
      </c>
      <c r="I2" s="102"/>
      <c r="J2" s="102"/>
      <c r="K2" s="103"/>
      <c r="L2" s="41"/>
      <c r="M2" s="38" t="s">
        <v>163</v>
      </c>
    </row>
    <row r="3" spans="1:14" ht="30.75" thickBot="1">
      <c r="A3" s="42" t="s">
        <v>74</v>
      </c>
      <c r="B3" s="43" t="s">
        <v>164</v>
      </c>
      <c r="C3" s="43" t="s">
        <v>165</v>
      </c>
      <c r="D3" s="43" t="s">
        <v>166</v>
      </c>
      <c r="E3" s="43" t="s">
        <v>167</v>
      </c>
      <c r="F3" s="44" t="s">
        <v>168</v>
      </c>
      <c r="G3" s="45"/>
      <c r="H3" s="44" t="s">
        <v>165</v>
      </c>
      <c r="I3" s="43" t="s">
        <v>166</v>
      </c>
      <c r="J3" s="43" t="s">
        <v>167</v>
      </c>
      <c r="K3" s="43" t="s">
        <v>168</v>
      </c>
      <c r="M3" s="38" t="s">
        <v>169</v>
      </c>
      <c r="N3" s="38" t="s">
        <v>170</v>
      </c>
    </row>
    <row r="4" spans="1:14" ht="30.75" customHeight="1" thickBot="1">
      <c r="A4" s="46" t="s">
        <v>171</v>
      </c>
      <c r="B4" s="47">
        <v>780.8</v>
      </c>
      <c r="C4" s="48">
        <f t="shared" ref="C4:C15" si="0">B4/2</f>
        <v>390.4</v>
      </c>
      <c r="D4" s="48">
        <f t="shared" ref="D4:D15" si="1">C4*0.18</f>
        <v>70.271999999999991</v>
      </c>
      <c r="E4" s="48">
        <f t="shared" ref="E4:E11" si="2">C4*0.3</f>
        <v>117.11999999999999</v>
      </c>
      <c r="F4" s="48">
        <f t="shared" ref="F4:F6" si="3">C4*0.4</f>
        <v>156.16</v>
      </c>
      <c r="G4" s="49"/>
      <c r="H4" s="48">
        <f t="shared" ref="H4" si="4">(C4*24)/18</f>
        <v>520.5333333333333</v>
      </c>
      <c r="I4" s="48">
        <f t="shared" ref="I4:I15" si="5">H4*0.18</f>
        <v>93.695999999999998</v>
      </c>
      <c r="J4" s="48">
        <f t="shared" ref="J4:J11" si="6">H4*0.3</f>
        <v>156.16</v>
      </c>
      <c r="K4" s="48">
        <f t="shared" ref="K4:K11" si="7">H4*0.4</f>
        <v>208.21333333333334</v>
      </c>
      <c r="M4" s="38" t="s">
        <v>172</v>
      </c>
    </row>
    <row r="5" spans="1:14" s="50" customFormat="1" ht="30.75" customHeight="1" thickBot="1">
      <c r="A5" s="46" t="s">
        <v>170</v>
      </c>
      <c r="B5" s="47">
        <v>1756.8</v>
      </c>
      <c r="C5" s="48">
        <f t="shared" si="0"/>
        <v>878.4</v>
      </c>
      <c r="D5" s="48">
        <f t="shared" si="1"/>
        <v>158.11199999999999</v>
      </c>
      <c r="E5" s="48">
        <f t="shared" si="2"/>
        <v>263.52</v>
      </c>
      <c r="F5" s="48">
        <f t="shared" si="3"/>
        <v>351.36</v>
      </c>
      <c r="G5" s="45"/>
      <c r="H5" s="48">
        <f>(C5*24)/18</f>
        <v>1171.1999999999998</v>
      </c>
      <c r="I5" s="48">
        <f t="shared" si="5"/>
        <v>210.81599999999995</v>
      </c>
      <c r="J5" s="48">
        <f t="shared" si="6"/>
        <v>351.35999999999996</v>
      </c>
      <c r="K5" s="48">
        <f t="shared" si="7"/>
        <v>468.47999999999996</v>
      </c>
    </row>
    <row r="6" spans="1:14" ht="30.75" customHeight="1" thickBot="1">
      <c r="A6" s="46" t="s">
        <v>173</v>
      </c>
      <c r="B6" s="47">
        <v>1405.48</v>
      </c>
      <c r="C6" s="48">
        <f t="shared" si="0"/>
        <v>702.74</v>
      </c>
      <c r="D6" s="48">
        <f t="shared" si="1"/>
        <v>126.4932</v>
      </c>
      <c r="E6" s="48">
        <f t="shared" si="2"/>
        <v>210.822</v>
      </c>
      <c r="F6" s="48">
        <f t="shared" si="3"/>
        <v>281.096</v>
      </c>
      <c r="G6" s="45"/>
      <c r="H6" s="48">
        <f>(C6*24)/18</f>
        <v>936.98666666666679</v>
      </c>
      <c r="I6" s="48">
        <f t="shared" si="5"/>
        <v>168.65760000000003</v>
      </c>
      <c r="J6" s="48">
        <f t="shared" si="6"/>
        <v>281.096</v>
      </c>
      <c r="K6" s="48">
        <f t="shared" si="7"/>
        <v>374.79466666666673</v>
      </c>
    </row>
    <row r="7" spans="1:14" ht="30.75" customHeight="1" thickBot="1">
      <c r="A7" s="46" t="s">
        <v>174</v>
      </c>
      <c r="B7" s="47">
        <v>2303.34</v>
      </c>
      <c r="C7" s="48">
        <f t="shared" si="0"/>
        <v>1151.67</v>
      </c>
      <c r="D7" s="48">
        <f t="shared" si="1"/>
        <v>207.3006</v>
      </c>
      <c r="E7" s="48">
        <f t="shared" si="2"/>
        <v>345.50100000000003</v>
      </c>
      <c r="F7" s="48">
        <f>C7*0.4</f>
        <v>460.66800000000006</v>
      </c>
      <c r="G7" s="45"/>
      <c r="H7" s="48">
        <f>(C7*24)/18</f>
        <v>1535.5600000000002</v>
      </c>
      <c r="I7" s="48">
        <f t="shared" si="5"/>
        <v>276.4008</v>
      </c>
      <c r="J7" s="48">
        <f t="shared" si="6"/>
        <v>460.66800000000001</v>
      </c>
      <c r="K7" s="48">
        <f t="shared" si="7"/>
        <v>614.22400000000016</v>
      </c>
    </row>
    <row r="8" spans="1:14" ht="30.75" customHeight="1" thickBot="1">
      <c r="A8" s="51" t="s">
        <v>175</v>
      </c>
      <c r="B8" s="52">
        <v>780.8</v>
      </c>
      <c r="C8" s="53">
        <f t="shared" si="0"/>
        <v>390.4</v>
      </c>
      <c r="D8" s="53">
        <f t="shared" si="1"/>
        <v>70.271999999999991</v>
      </c>
      <c r="E8" s="53">
        <f t="shared" si="2"/>
        <v>117.11999999999999</v>
      </c>
      <c r="F8" s="53">
        <f t="shared" ref="F8:F10" si="8">C8*0.4</f>
        <v>156.16</v>
      </c>
      <c r="G8" s="45"/>
      <c r="H8" s="53">
        <f t="shared" ref="H8:H11" si="9">(C8*24)/18</f>
        <v>520.5333333333333</v>
      </c>
      <c r="I8" s="53">
        <f t="shared" si="5"/>
        <v>93.695999999999998</v>
      </c>
      <c r="J8" s="53">
        <f t="shared" si="6"/>
        <v>156.16</v>
      </c>
      <c r="K8" s="53">
        <f t="shared" si="7"/>
        <v>208.21333333333334</v>
      </c>
    </row>
    <row r="9" spans="1:14" ht="30.75" customHeight="1" thickBot="1">
      <c r="A9" s="51" t="s">
        <v>176</v>
      </c>
      <c r="B9" s="52">
        <v>1756.8</v>
      </c>
      <c r="C9" s="53">
        <f t="shared" si="0"/>
        <v>878.4</v>
      </c>
      <c r="D9" s="53">
        <f t="shared" si="1"/>
        <v>158.11199999999999</v>
      </c>
      <c r="E9" s="53">
        <f t="shared" si="2"/>
        <v>263.52</v>
      </c>
      <c r="F9" s="53">
        <f t="shared" si="8"/>
        <v>351.36</v>
      </c>
      <c r="G9" s="45"/>
      <c r="H9" s="53">
        <f t="shared" si="9"/>
        <v>1171.1999999999998</v>
      </c>
      <c r="I9" s="53">
        <f t="shared" si="5"/>
        <v>210.81599999999995</v>
      </c>
      <c r="J9" s="53">
        <f t="shared" si="6"/>
        <v>351.35999999999996</v>
      </c>
      <c r="K9" s="53">
        <f t="shared" si="7"/>
        <v>468.47999999999996</v>
      </c>
    </row>
    <row r="10" spans="1:14" ht="30.75" customHeight="1" thickBot="1">
      <c r="A10" s="51" t="s">
        <v>177</v>
      </c>
      <c r="B10" s="52">
        <v>1405.48</v>
      </c>
      <c r="C10" s="53">
        <f t="shared" si="0"/>
        <v>702.74</v>
      </c>
      <c r="D10" s="53">
        <f t="shared" si="1"/>
        <v>126.4932</v>
      </c>
      <c r="E10" s="53">
        <f t="shared" si="2"/>
        <v>210.822</v>
      </c>
      <c r="F10" s="53">
        <f t="shared" si="8"/>
        <v>281.096</v>
      </c>
      <c r="G10" s="45"/>
      <c r="H10" s="53">
        <f t="shared" si="9"/>
        <v>936.98666666666679</v>
      </c>
      <c r="I10" s="53">
        <f t="shared" si="5"/>
        <v>168.65760000000003</v>
      </c>
      <c r="J10" s="53">
        <f t="shared" si="6"/>
        <v>281.096</v>
      </c>
      <c r="K10" s="53">
        <f t="shared" si="7"/>
        <v>374.79466666666673</v>
      </c>
    </row>
    <row r="11" spans="1:14" ht="30.75" customHeight="1" thickBot="1">
      <c r="A11" s="54" t="s">
        <v>178</v>
      </c>
      <c r="B11" s="52">
        <v>2303.34</v>
      </c>
      <c r="C11" s="53">
        <f t="shared" si="0"/>
        <v>1151.67</v>
      </c>
      <c r="D11" s="53">
        <f t="shared" si="1"/>
        <v>207.3006</v>
      </c>
      <c r="E11" s="53">
        <f t="shared" si="2"/>
        <v>345.50100000000003</v>
      </c>
      <c r="F11" s="53">
        <f>C11*0.4</f>
        <v>460.66800000000006</v>
      </c>
      <c r="G11" s="45"/>
      <c r="H11" s="53">
        <f t="shared" si="9"/>
        <v>1535.5600000000002</v>
      </c>
      <c r="I11" s="53">
        <f t="shared" si="5"/>
        <v>276.4008</v>
      </c>
      <c r="J11" s="53">
        <f t="shared" si="6"/>
        <v>460.66800000000001</v>
      </c>
      <c r="K11" s="53">
        <f t="shared" si="7"/>
        <v>614.22400000000016</v>
      </c>
    </row>
    <row r="12" spans="1:14" ht="30.75" customHeight="1" thickBot="1">
      <c r="A12" s="55" t="s">
        <v>179</v>
      </c>
      <c r="B12" s="56">
        <v>908.04</v>
      </c>
      <c r="C12" s="57">
        <f t="shared" si="0"/>
        <v>454.02</v>
      </c>
      <c r="D12" s="57">
        <f t="shared" si="1"/>
        <v>81.72359999999999</v>
      </c>
      <c r="E12" s="57">
        <f>C12*0.3</f>
        <v>136.20599999999999</v>
      </c>
      <c r="F12" s="57">
        <f>C12*0.4</f>
        <v>181.608</v>
      </c>
      <c r="G12" s="45"/>
      <c r="H12" s="57">
        <f>(C12*24)/18</f>
        <v>605.36</v>
      </c>
      <c r="I12" s="57">
        <f t="shared" si="5"/>
        <v>108.9648</v>
      </c>
      <c r="J12" s="57">
        <f>H12*0.3</f>
        <v>181.608</v>
      </c>
      <c r="K12" s="57">
        <f>H12*0.4</f>
        <v>242.14400000000001</v>
      </c>
    </row>
    <row r="13" spans="1:14" ht="30.75" customHeight="1" thickBot="1">
      <c r="A13" s="58" t="s">
        <v>180</v>
      </c>
      <c r="B13" s="56">
        <v>2043.24</v>
      </c>
      <c r="C13" s="57">
        <f t="shared" si="0"/>
        <v>1021.62</v>
      </c>
      <c r="D13" s="57">
        <f t="shared" si="1"/>
        <v>183.89159999999998</v>
      </c>
      <c r="E13" s="57">
        <f t="shared" ref="E13:E15" si="10">C13*0.3</f>
        <v>306.48599999999999</v>
      </c>
      <c r="F13" s="57">
        <f t="shared" ref="F13" si="11">C13*0.4</f>
        <v>408.64800000000002</v>
      </c>
      <c r="G13" s="45"/>
      <c r="H13" s="57">
        <f>(C13*24)/18</f>
        <v>1362.16</v>
      </c>
      <c r="I13" s="57">
        <f t="shared" si="5"/>
        <v>245.18880000000001</v>
      </c>
      <c r="J13" s="57">
        <f t="shared" ref="J13:J15" si="12">H13*0.3</f>
        <v>408.64800000000002</v>
      </c>
      <c r="K13" s="57">
        <f>H13*0.4</f>
        <v>544.86400000000003</v>
      </c>
    </row>
    <row r="14" spans="1:14" ht="30.75" customHeight="1" thickBot="1">
      <c r="A14" s="58" t="s">
        <v>181</v>
      </c>
      <c r="B14" s="56">
        <v>1634.56</v>
      </c>
      <c r="C14" s="57">
        <f t="shared" si="0"/>
        <v>817.28</v>
      </c>
      <c r="D14" s="57">
        <f t="shared" si="1"/>
        <v>147.1104</v>
      </c>
      <c r="E14" s="57">
        <f t="shared" si="10"/>
        <v>245.18399999999997</v>
      </c>
      <c r="F14" s="57">
        <f>C14*0.4</f>
        <v>326.91200000000003</v>
      </c>
      <c r="G14" s="45"/>
      <c r="H14" s="57">
        <f t="shared" ref="H14:H15" si="13">(C14*24)/18</f>
        <v>1089.7066666666667</v>
      </c>
      <c r="I14" s="57">
        <f t="shared" si="5"/>
        <v>196.1472</v>
      </c>
      <c r="J14" s="57">
        <f t="shared" si="12"/>
        <v>326.91199999999998</v>
      </c>
      <c r="K14" s="57">
        <f t="shared" ref="K14:K15" si="14">H14*0.4</f>
        <v>435.88266666666669</v>
      </c>
    </row>
    <row r="15" spans="1:14" ht="30.75" customHeight="1" thickBot="1">
      <c r="A15" s="59" t="s">
        <v>182</v>
      </c>
      <c r="B15" s="56">
        <v>2678.96</v>
      </c>
      <c r="C15" s="60">
        <f t="shared" si="0"/>
        <v>1339.48</v>
      </c>
      <c r="D15" s="60">
        <f t="shared" si="1"/>
        <v>241.10640000000001</v>
      </c>
      <c r="E15" s="60">
        <f t="shared" si="10"/>
        <v>401.84399999999999</v>
      </c>
      <c r="F15" s="60">
        <f t="shared" ref="F15" si="15">C15*0.4</f>
        <v>535.79200000000003</v>
      </c>
      <c r="G15" s="45"/>
      <c r="H15" s="60">
        <f t="shared" si="13"/>
        <v>1785.9733333333334</v>
      </c>
      <c r="I15" s="60">
        <f t="shared" si="5"/>
        <v>321.47519999999997</v>
      </c>
      <c r="J15" s="60">
        <f t="shared" si="12"/>
        <v>535.79200000000003</v>
      </c>
      <c r="K15" s="60">
        <f t="shared" si="14"/>
        <v>714.38933333333341</v>
      </c>
    </row>
    <row r="18" spans="1:11" ht="21" thickBot="1">
      <c r="A18" s="100" t="s">
        <v>183</v>
      </c>
      <c r="B18" s="100"/>
      <c r="C18" s="100"/>
      <c r="D18" s="100"/>
      <c r="E18" s="100"/>
      <c r="F18" s="100"/>
      <c r="G18" s="100"/>
      <c r="H18" s="100"/>
      <c r="I18" s="100"/>
      <c r="J18" s="100"/>
      <c r="K18" s="100"/>
    </row>
    <row r="19" spans="1:11" ht="15.75" thickBot="1">
      <c r="A19" s="115"/>
      <c r="B19" s="45"/>
      <c r="C19" s="101" t="s">
        <v>161</v>
      </c>
      <c r="D19" s="102"/>
      <c r="E19" s="102"/>
      <c r="F19" s="103"/>
      <c r="H19" s="101" t="s">
        <v>162</v>
      </c>
      <c r="I19" s="102"/>
      <c r="J19" s="102"/>
      <c r="K19" s="103"/>
    </row>
    <row r="20" spans="1:11" ht="45" customHeight="1">
      <c r="A20" s="116"/>
      <c r="B20" s="45"/>
      <c r="C20" s="117" t="s">
        <v>184</v>
      </c>
      <c r="D20" s="118"/>
      <c r="E20" s="117" t="s">
        <v>185</v>
      </c>
      <c r="F20" s="118"/>
      <c r="H20" s="117" t="s">
        <v>184</v>
      </c>
      <c r="I20" s="118"/>
      <c r="J20" s="119" t="s">
        <v>185</v>
      </c>
      <c r="K20" s="118"/>
    </row>
    <row r="21" spans="1:11">
      <c r="A21" s="61" t="s">
        <v>186</v>
      </c>
      <c r="B21" s="62">
        <v>35.200000000000003</v>
      </c>
      <c r="C21" s="94">
        <f>B21/2</f>
        <v>17.600000000000001</v>
      </c>
      <c r="D21" s="110"/>
      <c r="E21" s="94">
        <f>C21*0.4</f>
        <v>7.0400000000000009</v>
      </c>
      <c r="F21" s="110"/>
      <c r="H21" s="111">
        <f>(C21*24)/18</f>
        <v>23.466666666666669</v>
      </c>
      <c r="I21" s="111"/>
      <c r="J21" s="112">
        <f>H21*0.4</f>
        <v>9.3866666666666685</v>
      </c>
      <c r="K21" s="113"/>
    </row>
    <row r="22" spans="1:11">
      <c r="A22" s="61" t="s">
        <v>187</v>
      </c>
      <c r="B22" s="62">
        <v>70.36</v>
      </c>
      <c r="C22" s="94">
        <f>B22/2</f>
        <v>35.18</v>
      </c>
      <c r="D22" s="110"/>
      <c r="E22" s="94">
        <f t="shared" ref="E22:E24" si="16">C22*0.4</f>
        <v>14.072000000000001</v>
      </c>
      <c r="F22" s="110"/>
      <c r="H22" s="111">
        <f t="shared" ref="H22:H24" si="17">(C22*24)/18</f>
        <v>46.906666666666666</v>
      </c>
      <c r="I22" s="111"/>
      <c r="J22" s="112">
        <f t="shared" ref="J22:J23" si="18">H22*0.4</f>
        <v>18.762666666666668</v>
      </c>
      <c r="K22" s="113"/>
    </row>
    <row r="23" spans="1:11">
      <c r="A23" s="61" t="s">
        <v>188</v>
      </c>
      <c r="B23" s="62">
        <v>80.94</v>
      </c>
      <c r="C23" s="94">
        <f>B23/2</f>
        <v>40.47</v>
      </c>
      <c r="D23" s="110"/>
      <c r="E23" s="94">
        <f t="shared" si="16"/>
        <v>16.187999999999999</v>
      </c>
      <c r="F23" s="110"/>
      <c r="H23" s="111">
        <f t="shared" si="17"/>
        <v>53.96</v>
      </c>
      <c r="I23" s="111"/>
      <c r="J23" s="112">
        <f t="shared" si="18"/>
        <v>21.584000000000003</v>
      </c>
      <c r="K23" s="113"/>
    </row>
    <row r="24" spans="1:11">
      <c r="A24" s="61" t="s">
        <v>189</v>
      </c>
      <c r="B24" s="62">
        <v>105.56</v>
      </c>
      <c r="C24" s="94">
        <f>B24/2</f>
        <v>52.78</v>
      </c>
      <c r="D24" s="110"/>
      <c r="E24" s="94">
        <f t="shared" si="16"/>
        <v>21.112000000000002</v>
      </c>
      <c r="F24" s="110"/>
      <c r="H24" s="111">
        <f t="shared" si="17"/>
        <v>70.373333333333335</v>
      </c>
      <c r="I24" s="111"/>
      <c r="J24" s="112">
        <f>H24*0.4</f>
        <v>28.149333333333335</v>
      </c>
      <c r="K24" s="113"/>
    </row>
    <row r="26" spans="1:11" ht="21" thickBot="1">
      <c r="A26" s="100" t="s">
        <v>190</v>
      </c>
      <c r="B26" s="100"/>
      <c r="C26" s="100"/>
      <c r="D26" s="100"/>
      <c r="E26" s="100"/>
      <c r="F26" s="100"/>
      <c r="G26" s="100"/>
      <c r="H26" s="100"/>
      <c r="I26" s="100"/>
      <c r="J26" s="100"/>
      <c r="K26" s="100"/>
    </row>
    <row r="27" spans="1:11" ht="15.75" thickBot="1">
      <c r="A27" s="63"/>
      <c r="B27" s="45"/>
      <c r="C27" s="101" t="s">
        <v>161</v>
      </c>
      <c r="D27" s="102"/>
      <c r="E27" s="102"/>
      <c r="F27" s="103"/>
      <c r="H27" s="101" t="s">
        <v>162</v>
      </c>
      <c r="I27" s="102"/>
      <c r="J27" s="102"/>
      <c r="K27" s="103"/>
    </row>
    <row r="28" spans="1:11">
      <c r="A28" s="61" t="s">
        <v>186</v>
      </c>
      <c r="B28" s="64"/>
      <c r="C28" s="104">
        <v>2.5</v>
      </c>
      <c r="D28" s="105"/>
      <c r="E28" s="105"/>
      <c r="F28" s="106"/>
      <c r="H28" s="107">
        <f>(C28*24)/18</f>
        <v>3.3333333333333335</v>
      </c>
      <c r="I28" s="108"/>
      <c r="J28" s="108"/>
      <c r="K28" s="109"/>
    </row>
    <row r="29" spans="1:11">
      <c r="A29" s="61" t="s">
        <v>187</v>
      </c>
      <c r="B29" s="65"/>
      <c r="C29" s="94">
        <v>5.1859999999999999</v>
      </c>
      <c r="D29" s="95"/>
      <c r="E29" s="95"/>
      <c r="F29" s="96"/>
      <c r="H29" s="97">
        <f>(C29*24)/18</f>
        <v>6.9146666666666663</v>
      </c>
      <c r="I29" s="98"/>
      <c r="J29" s="98"/>
      <c r="K29" s="99"/>
    </row>
    <row r="30" spans="1:11">
      <c r="A30" s="61" t="s">
        <v>188</v>
      </c>
      <c r="B30" s="65"/>
      <c r="C30" s="94">
        <v>5.63</v>
      </c>
      <c r="D30" s="95"/>
      <c r="E30" s="95"/>
      <c r="F30" s="96"/>
      <c r="H30" s="97">
        <f>(C30*24)/18</f>
        <v>7.5066666666666668</v>
      </c>
      <c r="I30" s="98"/>
      <c r="J30" s="98"/>
      <c r="K30" s="99"/>
    </row>
    <row r="31" spans="1:11">
      <c r="A31" s="61" t="s">
        <v>189</v>
      </c>
      <c r="B31" s="65"/>
      <c r="C31" s="94">
        <v>8.99</v>
      </c>
      <c r="D31" s="95"/>
      <c r="E31" s="95"/>
      <c r="F31" s="96"/>
      <c r="H31" s="97">
        <f>(C31*24)/18</f>
        <v>11.986666666666666</v>
      </c>
      <c r="I31" s="98"/>
      <c r="J31" s="98"/>
      <c r="K31" s="99"/>
    </row>
  </sheetData>
  <sheetProtection sheet="1" objects="1" scenarios="1"/>
  <mergeCells count="38">
    <mergeCell ref="C1:K1"/>
    <mergeCell ref="C2:F2"/>
    <mergeCell ref="H2:K2"/>
    <mergeCell ref="A18:K18"/>
    <mergeCell ref="A19:A20"/>
    <mergeCell ref="C19:F19"/>
    <mergeCell ref="H19:K19"/>
    <mergeCell ref="C20:D20"/>
    <mergeCell ref="E20:F20"/>
    <mergeCell ref="H20:I20"/>
    <mergeCell ref="J20:K20"/>
    <mergeCell ref="E21:F21"/>
    <mergeCell ref="H21:I21"/>
    <mergeCell ref="J21:K21"/>
    <mergeCell ref="C23:D23"/>
    <mergeCell ref="E23:F23"/>
    <mergeCell ref="H23:I23"/>
    <mergeCell ref="J23:K23"/>
    <mergeCell ref="C22:D22"/>
    <mergeCell ref="E22:F22"/>
    <mergeCell ref="H22:I22"/>
    <mergeCell ref="J22:K22"/>
    <mergeCell ref="C21:D21"/>
    <mergeCell ref="C24:D24"/>
    <mergeCell ref="E24:F24"/>
    <mergeCell ref="H24:I24"/>
    <mergeCell ref="J24:K24"/>
    <mergeCell ref="C30:F30"/>
    <mergeCell ref="H30:K30"/>
    <mergeCell ref="C31:F31"/>
    <mergeCell ref="H31:K31"/>
    <mergeCell ref="A26:K26"/>
    <mergeCell ref="C27:F27"/>
    <mergeCell ref="H27:K27"/>
    <mergeCell ref="C28:F28"/>
    <mergeCell ref="H28:K28"/>
    <mergeCell ref="C29:F29"/>
    <mergeCell ref="H29:K29"/>
  </mergeCells>
  <dataValidations count="1">
    <dataValidation type="list" allowBlank="1" showInputMessage="1" showErrorMessage="1" sqref="N3" xr:uid="{08EF14FA-3B59-4396-BEC7-D3F124E3CC2C}">
      <formula1>$A$4:$A$15</formula1>
    </dataValidation>
  </dataValidations>
  <pageMargins left="0.7" right="0.7" top="0.75" bottom="0.75" header="0.3" footer="0.3"/>
  <pageSetup scale="8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f2c57d0-d16c-4b10-ae78-6c86490e2710" xsi:nil="true"/>
    <lcf76f155ced4ddcb4097134ff3c332f xmlns="063d06ec-41fc-4b12-82e5-1dd91e32baf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3E2A60750D5741A4B443EB92C26C74" ma:contentTypeVersion="16" ma:contentTypeDescription="Create a new document." ma:contentTypeScope="" ma:versionID="3197a6f8e8a893ae466c4124057f3094">
  <xsd:schema xmlns:xsd="http://www.w3.org/2001/XMLSchema" xmlns:xs="http://www.w3.org/2001/XMLSchema" xmlns:p="http://schemas.microsoft.com/office/2006/metadata/properties" xmlns:ns2="063d06ec-41fc-4b12-82e5-1dd91e32baf8" xmlns:ns3="0d310b70-989b-40af-b8aa-ce87e81bfa00" xmlns:ns4="4f2c57d0-d16c-4b10-ae78-6c86490e2710" targetNamespace="http://schemas.microsoft.com/office/2006/metadata/properties" ma:root="true" ma:fieldsID="f67145f5391df10d998187ebe970f9f7" ns2:_="" ns3:_="" ns4:_="">
    <xsd:import namespace="063d06ec-41fc-4b12-82e5-1dd91e32baf8"/>
    <xsd:import namespace="0d310b70-989b-40af-b8aa-ce87e81bfa00"/>
    <xsd:import namespace="4f2c57d0-d16c-4b10-ae78-6c86490e27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3d06ec-41fc-4b12-82e5-1dd91e32ba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e98472c-f966-4aa8-ad60-5a98665d577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310b70-989b-40af-b8aa-ce87e81bfa0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c57d0-d16c-4b10-ae78-6c86490e2710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b739c8e7-3db1-4174-b27e-7a8f6325a53a}" ma:internalName="TaxCatchAll" ma:showField="CatchAllData" ma:web="0d310b70-989b-40af-b8aa-ce87e81bfa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58A871-3A42-400D-ABA6-6662232CC6A8}">
  <ds:schemaRefs>
    <ds:schemaRef ds:uri="http://schemas.microsoft.com/office/2006/metadata/properties"/>
    <ds:schemaRef ds:uri="http://schemas.microsoft.com/office/infopath/2007/PartnerControls"/>
    <ds:schemaRef ds:uri="4f2c57d0-d16c-4b10-ae78-6c86490e2710"/>
    <ds:schemaRef ds:uri="063d06ec-41fc-4b12-82e5-1dd91e32baf8"/>
  </ds:schemaRefs>
</ds:datastoreItem>
</file>

<file path=customXml/itemProps2.xml><?xml version="1.0" encoding="utf-8"?>
<ds:datastoreItem xmlns:ds="http://schemas.openxmlformats.org/officeDocument/2006/customXml" ds:itemID="{EB64211A-A7BF-405C-98D2-02A5156315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3d06ec-41fc-4b12-82e5-1dd91e32baf8"/>
    <ds:schemaRef ds:uri="0d310b70-989b-40af-b8aa-ce87e81bfa00"/>
    <ds:schemaRef ds:uri="4f2c57d0-d16c-4b10-ae78-6c86490e27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60B3C7-2D7F-41C7-BE4F-86D964EADC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Formulas</vt:lpstr>
      <vt:lpstr>Calculator</vt:lpstr>
      <vt:lpstr>VolLifeADD Rates</vt:lpstr>
      <vt:lpstr>Unum Rates</vt:lpstr>
      <vt:lpstr>MDV Rates</vt:lpstr>
      <vt:lpstr>'MDV Rates'!Print_Area</vt:lpstr>
    </vt:vector>
  </TitlesOfParts>
  <Manager/>
  <Company>New Mexico State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Rene' S. Yoder</dc:creator>
  <cp:keywords/>
  <dc:description/>
  <cp:lastModifiedBy>Celeste Uzueta</cp:lastModifiedBy>
  <cp:revision/>
  <cp:lastPrinted>2026-01-30T21:13:58Z</cp:lastPrinted>
  <dcterms:created xsi:type="dcterms:W3CDTF">2007-07-25T16:42:28Z</dcterms:created>
  <dcterms:modified xsi:type="dcterms:W3CDTF">2026-01-30T21:17:57Z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0x010100FC3E2A60750D5741A4B443EB92C26C74</vt:lpwstr>
  </property>
  <property fmtid="{D5CDD505-2E9C-101B-9397-08002B2CF9AE}" pid="3" name="MediaServiceImageTags">
    <vt:lpwstr/>
  </property>
</Properties>
</file>